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3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4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7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8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9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6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6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65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6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7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70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71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2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73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74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9.xml" ContentType="application/vnd.openxmlformats-officedocument.drawingml.chartshapes+xml"/>
  <Override PartName="/xl/drawings/drawing80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83.xml" ContentType="application/vnd.openxmlformats-officedocument.drawingml.chartshapes+xml"/>
  <Override PartName="/xl/drawings/drawing8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85.xml" ContentType="application/vnd.openxmlformats-officedocument.drawingml.chartshapes+xml"/>
  <Override PartName="/xl/drawings/drawing86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87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88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89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90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91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94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95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96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97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98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99.xml" ContentType="application/vnd.openxmlformats-officedocument.drawingml.chartshapes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quelgalanmontes/Desktop/wiki_TFG/TFG/"/>
    </mc:Choice>
  </mc:AlternateContent>
  <xr:revisionPtr revIDLastSave="0" documentId="8_{834C8133-64CE-D94B-818B-DE06F755CB65}" xr6:coauthVersionLast="47" xr6:coauthVersionMax="47" xr10:uidLastSave="{00000000-0000-0000-0000-000000000000}"/>
  <bookViews>
    <workbookView xWindow="0" yWindow="460" windowWidth="25600" windowHeight="15540" activeTab="1" xr2:uid="{4EC67D43-37AE-D841-A28A-B4593C577348}"/>
  </bookViews>
  <sheets>
    <sheet name="Guía MediaAlta Frec" sheetId="1" r:id="rId1"/>
    <sheet name="Datos" sheetId="2" r:id="rId2"/>
    <sheet name="1º Alta Frec" sheetId="3" r:id="rId3"/>
    <sheet name="2º Alta Frec" sheetId="4" r:id="rId4"/>
    <sheet name="3º Alta Frec" sheetId="5" r:id="rId5"/>
    <sheet name="4º Alta frec (R')" sheetId="26" r:id="rId6"/>
    <sheet name="4º Alta frec (Dnt)" sheetId="27" r:id="rId7"/>
    <sheet name="5º Alta Frec (R')" sheetId="22" r:id="rId8"/>
    <sheet name="5º Alta Frec (Dnt)" sheetId="19" r:id="rId9"/>
    <sheet name="Guía Baja Frec" sheetId="7" r:id="rId10"/>
    <sheet name="1º Baja Frec" sheetId="12" r:id="rId11"/>
    <sheet name="2º Baja Frec" sheetId="13" r:id="rId12"/>
    <sheet name="3º Baja Frec" sheetId="16" r:id="rId13"/>
    <sheet name="4º Baja Frec dnt" sheetId="24" r:id="rId14"/>
    <sheet name="4º Baja Frec R" sheetId="15" r:id="rId15"/>
    <sheet name="5º Baja Frec (Dnt)" sheetId="28" r:id="rId16"/>
    <sheet name="5º Baja Frec (R')" sheetId="31" r:id="rId17"/>
    <sheet name="Resultados" sheetId="30" r:id="rId18"/>
    <sheet name="Hoja1" sheetId="29" r:id="rId19"/>
  </sheets>
  <definedNames>
    <definedName name="_xlnm._FilterDatabase" localSheetId="1" hidden="1">Datos!$C$86:$M$86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6" i="31" l="1"/>
  <c r="H39" i="31"/>
  <c r="I39" i="31"/>
  <c r="J39" i="31"/>
  <c r="H40" i="31"/>
  <c r="I40" i="31"/>
  <c r="J40" i="31"/>
  <c r="H41" i="31"/>
  <c r="I41" i="31"/>
  <c r="J41" i="31"/>
  <c r="H42" i="31"/>
  <c r="I42" i="31"/>
  <c r="J42" i="31"/>
  <c r="H43" i="31"/>
  <c r="I43" i="31"/>
  <c r="J43" i="31"/>
  <c r="H44" i="31"/>
  <c r="I44" i="31"/>
  <c r="J44" i="31"/>
  <c r="H45" i="31"/>
  <c r="I45" i="31"/>
  <c r="J45" i="31"/>
  <c r="H46" i="31"/>
  <c r="I46" i="31"/>
  <c r="J46" i="31"/>
  <c r="H47" i="31"/>
  <c r="I47" i="31"/>
  <c r="J47" i="31"/>
  <c r="H48" i="31"/>
  <c r="I48" i="31"/>
  <c r="J48" i="31"/>
  <c r="H49" i="31"/>
  <c r="I49" i="31"/>
  <c r="J49" i="31"/>
  <c r="H50" i="31"/>
  <c r="I50" i="31"/>
  <c r="J50" i="31"/>
  <c r="H51" i="31"/>
  <c r="I51" i="31"/>
  <c r="J51" i="31"/>
  <c r="H52" i="31"/>
  <c r="I52" i="31"/>
  <c r="J52" i="31"/>
  <c r="H53" i="31"/>
  <c r="I53" i="31"/>
  <c r="J53" i="31"/>
  <c r="J38" i="31"/>
  <c r="I38" i="31"/>
  <c r="H38" i="31"/>
  <c r="P56" i="22"/>
  <c r="H39" i="22"/>
  <c r="I39" i="22"/>
  <c r="J39" i="22"/>
  <c r="H40" i="22"/>
  <c r="I40" i="22"/>
  <c r="J40" i="22"/>
  <c r="H41" i="22"/>
  <c r="I41" i="22"/>
  <c r="J41" i="22"/>
  <c r="H42" i="22"/>
  <c r="I42" i="22"/>
  <c r="J42" i="22"/>
  <c r="H43" i="22"/>
  <c r="I43" i="22"/>
  <c r="J43" i="22"/>
  <c r="H44" i="22"/>
  <c r="I44" i="22"/>
  <c r="J44" i="22"/>
  <c r="H45" i="22"/>
  <c r="I45" i="22"/>
  <c r="J45" i="22"/>
  <c r="H46" i="22"/>
  <c r="I46" i="22"/>
  <c r="J46" i="22"/>
  <c r="H47" i="22"/>
  <c r="I47" i="22"/>
  <c r="J47" i="22"/>
  <c r="H48" i="22"/>
  <c r="I48" i="22"/>
  <c r="J48" i="22"/>
  <c r="H49" i="22"/>
  <c r="I49" i="22"/>
  <c r="J49" i="22"/>
  <c r="H50" i="22"/>
  <c r="I50" i="22"/>
  <c r="J50" i="22"/>
  <c r="H51" i="22"/>
  <c r="I51" i="22"/>
  <c r="J51" i="22"/>
  <c r="H52" i="22"/>
  <c r="I52" i="22"/>
  <c r="J52" i="22"/>
  <c r="H53" i="22"/>
  <c r="I53" i="22"/>
  <c r="J53" i="22"/>
  <c r="J38" i="22"/>
  <c r="I38" i="22"/>
  <c r="H38" i="22"/>
  <c r="F5" i="5"/>
  <c r="P145" i="31" l="1"/>
  <c r="J142" i="31"/>
  <c r="I142" i="31"/>
  <c r="H142" i="31"/>
  <c r="J141" i="31"/>
  <c r="I141" i="31"/>
  <c r="H141" i="31"/>
  <c r="J140" i="31"/>
  <c r="I140" i="31"/>
  <c r="H140" i="31"/>
  <c r="J139" i="31"/>
  <c r="I139" i="31"/>
  <c r="H139" i="31"/>
  <c r="J138" i="31"/>
  <c r="I138" i="31"/>
  <c r="H138" i="31"/>
  <c r="J137" i="31"/>
  <c r="I137" i="31"/>
  <c r="H137" i="31"/>
  <c r="J136" i="31"/>
  <c r="I136" i="31"/>
  <c r="H136" i="31"/>
  <c r="J135" i="31"/>
  <c r="I135" i="31"/>
  <c r="H135" i="31"/>
  <c r="J134" i="31"/>
  <c r="I134" i="31"/>
  <c r="H134" i="31"/>
  <c r="J133" i="31"/>
  <c r="I133" i="31"/>
  <c r="H133" i="31"/>
  <c r="J132" i="31"/>
  <c r="I132" i="31"/>
  <c r="H132" i="31"/>
  <c r="J131" i="31"/>
  <c r="I131" i="31"/>
  <c r="H131" i="31"/>
  <c r="J130" i="31"/>
  <c r="I130" i="31"/>
  <c r="H130" i="31"/>
  <c r="J129" i="31"/>
  <c r="I129" i="31"/>
  <c r="H129" i="31"/>
  <c r="J128" i="31"/>
  <c r="I128" i="31"/>
  <c r="H128" i="31"/>
  <c r="J127" i="31"/>
  <c r="I127" i="31"/>
  <c r="H127" i="31"/>
  <c r="P115" i="31"/>
  <c r="J112" i="31"/>
  <c r="I112" i="31"/>
  <c r="H112" i="31"/>
  <c r="J111" i="31"/>
  <c r="I111" i="31"/>
  <c r="H111" i="31"/>
  <c r="J110" i="31"/>
  <c r="I110" i="31"/>
  <c r="H110" i="31"/>
  <c r="J109" i="31"/>
  <c r="I109" i="31"/>
  <c r="H109" i="31"/>
  <c r="J108" i="31"/>
  <c r="I108" i="31"/>
  <c r="H108" i="31"/>
  <c r="J107" i="31"/>
  <c r="I107" i="31"/>
  <c r="H107" i="31"/>
  <c r="J106" i="31"/>
  <c r="I106" i="31"/>
  <c r="H106" i="31"/>
  <c r="J105" i="31"/>
  <c r="I105" i="31"/>
  <c r="H105" i="31"/>
  <c r="J104" i="31"/>
  <c r="I104" i="31"/>
  <c r="H104" i="31"/>
  <c r="J103" i="31"/>
  <c r="I103" i="31"/>
  <c r="H103" i="31"/>
  <c r="J102" i="31"/>
  <c r="I102" i="31"/>
  <c r="H102" i="31"/>
  <c r="J101" i="31"/>
  <c r="I101" i="31"/>
  <c r="H101" i="31"/>
  <c r="J100" i="31"/>
  <c r="I100" i="31"/>
  <c r="H100" i="31"/>
  <c r="J99" i="31"/>
  <c r="I99" i="31"/>
  <c r="H99" i="31"/>
  <c r="J98" i="31"/>
  <c r="I98" i="31"/>
  <c r="H98" i="31"/>
  <c r="J97" i="31"/>
  <c r="I97" i="31"/>
  <c r="H97" i="31"/>
  <c r="Y94" i="31"/>
  <c r="Z94" i="31" s="1"/>
  <c r="P86" i="31"/>
  <c r="J83" i="31"/>
  <c r="I83" i="31"/>
  <c r="H83" i="31"/>
  <c r="J82" i="31"/>
  <c r="I82" i="31"/>
  <c r="H82" i="31"/>
  <c r="J81" i="31"/>
  <c r="I81" i="31"/>
  <c r="H81" i="31"/>
  <c r="J80" i="31"/>
  <c r="I80" i="31"/>
  <c r="H80" i="31"/>
  <c r="J79" i="31"/>
  <c r="I79" i="31"/>
  <c r="H79" i="31"/>
  <c r="J78" i="31"/>
  <c r="I78" i="31"/>
  <c r="H78" i="31"/>
  <c r="J77" i="31"/>
  <c r="I77" i="31"/>
  <c r="H77" i="31"/>
  <c r="J76" i="31"/>
  <c r="I76" i="31"/>
  <c r="H76" i="31"/>
  <c r="J75" i="31"/>
  <c r="I75" i="31"/>
  <c r="H75" i="31"/>
  <c r="J74" i="31"/>
  <c r="I74" i="31"/>
  <c r="H74" i="31"/>
  <c r="J73" i="31"/>
  <c r="I73" i="31"/>
  <c r="H73" i="31"/>
  <c r="J72" i="31"/>
  <c r="I72" i="31"/>
  <c r="H72" i="31"/>
  <c r="J71" i="31"/>
  <c r="I71" i="31"/>
  <c r="H71" i="31"/>
  <c r="J70" i="31"/>
  <c r="I70" i="31"/>
  <c r="H70" i="31"/>
  <c r="J69" i="31"/>
  <c r="I69" i="31"/>
  <c r="H69" i="31"/>
  <c r="J68" i="31"/>
  <c r="I68" i="31"/>
  <c r="H68" i="31"/>
  <c r="P26" i="31"/>
  <c r="J23" i="31"/>
  <c r="I23" i="31"/>
  <c r="H23" i="31"/>
  <c r="J22" i="31"/>
  <c r="I22" i="31"/>
  <c r="H22" i="31"/>
  <c r="J21" i="31"/>
  <c r="I21" i="31"/>
  <c r="H21" i="31"/>
  <c r="J20" i="31"/>
  <c r="I20" i="31"/>
  <c r="H20" i="31"/>
  <c r="J19" i="31"/>
  <c r="I19" i="31"/>
  <c r="H19" i="31"/>
  <c r="J18" i="31"/>
  <c r="I18" i="31"/>
  <c r="H18" i="31"/>
  <c r="J17" i="31"/>
  <c r="I17" i="31"/>
  <c r="H17" i="31"/>
  <c r="J16" i="31"/>
  <c r="I16" i="31"/>
  <c r="H16" i="31"/>
  <c r="J15" i="31"/>
  <c r="I15" i="31"/>
  <c r="H15" i="31"/>
  <c r="J14" i="31"/>
  <c r="I14" i="31"/>
  <c r="H14" i="31"/>
  <c r="J13" i="31"/>
  <c r="I13" i="31"/>
  <c r="H13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P84" i="19"/>
  <c r="H67" i="19"/>
  <c r="I67" i="19"/>
  <c r="J67" i="19"/>
  <c r="H68" i="19"/>
  <c r="I68" i="19"/>
  <c r="J68" i="19"/>
  <c r="H69" i="19"/>
  <c r="I69" i="19"/>
  <c r="J69" i="19"/>
  <c r="H70" i="19"/>
  <c r="I70" i="19"/>
  <c r="J70" i="19"/>
  <c r="H71" i="19"/>
  <c r="I71" i="19"/>
  <c r="J71" i="19"/>
  <c r="H72" i="19"/>
  <c r="I72" i="19"/>
  <c r="J72" i="19"/>
  <c r="H73" i="19"/>
  <c r="I73" i="19"/>
  <c r="J73" i="19"/>
  <c r="H74" i="19"/>
  <c r="I74" i="19"/>
  <c r="J74" i="19"/>
  <c r="H75" i="19"/>
  <c r="I75" i="19"/>
  <c r="J75" i="19"/>
  <c r="H76" i="19"/>
  <c r="I76" i="19"/>
  <c r="J76" i="19"/>
  <c r="H77" i="19"/>
  <c r="I77" i="19"/>
  <c r="J77" i="19"/>
  <c r="H78" i="19"/>
  <c r="I78" i="19"/>
  <c r="J78" i="19"/>
  <c r="H79" i="19"/>
  <c r="I79" i="19"/>
  <c r="J79" i="19"/>
  <c r="H80" i="19"/>
  <c r="I80" i="19"/>
  <c r="J80" i="19"/>
  <c r="H81" i="19"/>
  <c r="I81" i="19"/>
  <c r="J81" i="19"/>
  <c r="J66" i="19"/>
  <c r="I66" i="19"/>
  <c r="H66" i="19"/>
  <c r="P83" i="28"/>
  <c r="H66" i="28"/>
  <c r="I66" i="28"/>
  <c r="J66" i="28"/>
  <c r="H67" i="28"/>
  <c r="I67" i="28"/>
  <c r="J67" i="28"/>
  <c r="H68" i="28"/>
  <c r="I68" i="28"/>
  <c r="J68" i="28"/>
  <c r="H69" i="28"/>
  <c r="I69" i="28"/>
  <c r="J69" i="28"/>
  <c r="H70" i="28"/>
  <c r="I70" i="28"/>
  <c r="J70" i="28"/>
  <c r="H71" i="28"/>
  <c r="I71" i="28"/>
  <c r="J71" i="28"/>
  <c r="H72" i="28"/>
  <c r="I72" i="28"/>
  <c r="J72" i="28"/>
  <c r="H73" i="28"/>
  <c r="I73" i="28"/>
  <c r="J73" i="28"/>
  <c r="H74" i="28"/>
  <c r="I74" i="28"/>
  <c r="J74" i="28"/>
  <c r="H75" i="28"/>
  <c r="I75" i="28"/>
  <c r="J75" i="28"/>
  <c r="H76" i="28"/>
  <c r="I76" i="28"/>
  <c r="J76" i="28"/>
  <c r="H77" i="28"/>
  <c r="I77" i="28"/>
  <c r="J77" i="28"/>
  <c r="H78" i="28"/>
  <c r="I78" i="28"/>
  <c r="J78" i="28"/>
  <c r="H79" i="28"/>
  <c r="I79" i="28"/>
  <c r="J79" i="28"/>
  <c r="H80" i="28"/>
  <c r="I80" i="28"/>
  <c r="J80" i="28"/>
  <c r="J65" i="28"/>
  <c r="I65" i="28"/>
  <c r="H65" i="28"/>
  <c r="J139" i="28"/>
  <c r="I139" i="28"/>
  <c r="H139" i="28"/>
  <c r="J138" i="28"/>
  <c r="I138" i="28"/>
  <c r="H138" i="28"/>
  <c r="J137" i="28"/>
  <c r="I137" i="28"/>
  <c r="H137" i="28"/>
  <c r="J136" i="28"/>
  <c r="I136" i="28"/>
  <c r="H136" i="28"/>
  <c r="J135" i="28"/>
  <c r="I135" i="28"/>
  <c r="H135" i="28"/>
  <c r="J134" i="28"/>
  <c r="I134" i="28"/>
  <c r="H134" i="28"/>
  <c r="J133" i="28"/>
  <c r="I133" i="28"/>
  <c r="H133" i="28"/>
  <c r="J132" i="28"/>
  <c r="I132" i="28"/>
  <c r="H132" i="28"/>
  <c r="J131" i="28"/>
  <c r="I131" i="28"/>
  <c r="H131" i="28"/>
  <c r="J130" i="28"/>
  <c r="I130" i="28"/>
  <c r="H130" i="28"/>
  <c r="J129" i="28"/>
  <c r="I129" i="28"/>
  <c r="H129" i="28"/>
  <c r="J128" i="28"/>
  <c r="I128" i="28"/>
  <c r="H128" i="28"/>
  <c r="J127" i="28"/>
  <c r="I127" i="28"/>
  <c r="H127" i="28"/>
  <c r="J126" i="28"/>
  <c r="I126" i="28"/>
  <c r="H126" i="28"/>
  <c r="J125" i="28"/>
  <c r="I125" i="28"/>
  <c r="H125" i="28"/>
  <c r="J124" i="28"/>
  <c r="I124" i="28"/>
  <c r="H124" i="28"/>
  <c r="P112" i="28"/>
  <c r="J109" i="28"/>
  <c r="I109" i="28"/>
  <c r="H109" i="28"/>
  <c r="J108" i="28"/>
  <c r="I108" i="28"/>
  <c r="H108" i="28"/>
  <c r="J107" i="28"/>
  <c r="I107" i="28"/>
  <c r="H107" i="28"/>
  <c r="J106" i="28"/>
  <c r="I106" i="28"/>
  <c r="H106" i="28"/>
  <c r="J105" i="28"/>
  <c r="I105" i="28"/>
  <c r="H105" i="28"/>
  <c r="J104" i="28"/>
  <c r="I104" i="28"/>
  <c r="H104" i="28"/>
  <c r="J103" i="28"/>
  <c r="I103" i="28"/>
  <c r="H103" i="28"/>
  <c r="J102" i="28"/>
  <c r="I102" i="28"/>
  <c r="H102" i="28"/>
  <c r="J101" i="28"/>
  <c r="I101" i="28"/>
  <c r="H101" i="28"/>
  <c r="J100" i="28"/>
  <c r="I100" i="28"/>
  <c r="H100" i="28"/>
  <c r="J99" i="28"/>
  <c r="I99" i="28"/>
  <c r="H99" i="28"/>
  <c r="J98" i="28"/>
  <c r="I98" i="28"/>
  <c r="H98" i="28"/>
  <c r="J97" i="28"/>
  <c r="I97" i="28"/>
  <c r="H97" i="28"/>
  <c r="J96" i="28"/>
  <c r="I96" i="28"/>
  <c r="H96" i="28"/>
  <c r="J95" i="28"/>
  <c r="I95" i="28"/>
  <c r="H95" i="28"/>
  <c r="J94" i="28"/>
  <c r="I94" i="28"/>
  <c r="H94" i="28"/>
  <c r="P54" i="28"/>
  <c r="J51" i="28"/>
  <c r="I51" i="28"/>
  <c r="H51" i="28"/>
  <c r="J50" i="28"/>
  <c r="I50" i="28"/>
  <c r="H50" i="28"/>
  <c r="J49" i="28"/>
  <c r="I49" i="28"/>
  <c r="H49" i="28"/>
  <c r="J48" i="28"/>
  <c r="I48" i="28"/>
  <c r="H48" i="28"/>
  <c r="J47" i="28"/>
  <c r="I47" i="28"/>
  <c r="H47" i="28"/>
  <c r="J46" i="28"/>
  <c r="I46" i="28"/>
  <c r="H46" i="28"/>
  <c r="J45" i="28"/>
  <c r="I45" i="28"/>
  <c r="H45" i="28"/>
  <c r="J44" i="28"/>
  <c r="I44" i="28"/>
  <c r="H44" i="28"/>
  <c r="J43" i="28"/>
  <c r="I43" i="28"/>
  <c r="H43" i="28"/>
  <c r="J42" i="28"/>
  <c r="I42" i="28"/>
  <c r="H42" i="28"/>
  <c r="J41" i="28"/>
  <c r="I41" i="28"/>
  <c r="H41" i="28"/>
  <c r="J40" i="28"/>
  <c r="I40" i="28"/>
  <c r="H40" i="28"/>
  <c r="J39" i="28"/>
  <c r="I39" i="28"/>
  <c r="H39" i="28"/>
  <c r="J38" i="28"/>
  <c r="I38" i="28"/>
  <c r="H38" i="28"/>
  <c r="J37" i="28"/>
  <c r="I37" i="28"/>
  <c r="H37" i="28"/>
  <c r="J36" i="28"/>
  <c r="I36" i="28"/>
  <c r="H36" i="28"/>
  <c r="P25" i="28"/>
  <c r="J22" i="28"/>
  <c r="I22" i="28"/>
  <c r="H22" i="28"/>
  <c r="J21" i="28"/>
  <c r="I21" i="28"/>
  <c r="H21" i="28"/>
  <c r="J20" i="28"/>
  <c r="I20" i="28"/>
  <c r="H20" i="28"/>
  <c r="J19" i="28"/>
  <c r="I19" i="28"/>
  <c r="H19" i="28"/>
  <c r="J18" i="28"/>
  <c r="I18" i="28"/>
  <c r="H18" i="28"/>
  <c r="J17" i="28"/>
  <c r="I17" i="28"/>
  <c r="H17" i="28"/>
  <c r="J16" i="28"/>
  <c r="I16" i="28"/>
  <c r="H16" i="28"/>
  <c r="J15" i="28"/>
  <c r="I15" i="28"/>
  <c r="H15" i="28"/>
  <c r="J14" i="28"/>
  <c r="I14" i="28"/>
  <c r="H14" i="28"/>
  <c r="J13" i="28"/>
  <c r="I13" i="28"/>
  <c r="H13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A7" i="16"/>
  <c r="A6" i="16"/>
  <c r="A5" i="16"/>
  <c r="J3" i="5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10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83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57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31" i="4"/>
  <c r="D31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N189" i="2"/>
  <c r="I5" i="5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H126" i="19"/>
  <c r="I126" i="19"/>
  <c r="J126" i="19"/>
  <c r="H127" i="19"/>
  <c r="I127" i="19"/>
  <c r="J127" i="19"/>
  <c r="H128" i="19"/>
  <c r="I128" i="19"/>
  <c r="J128" i="19"/>
  <c r="H129" i="19"/>
  <c r="I129" i="19"/>
  <c r="J129" i="19"/>
  <c r="H130" i="19"/>
  <c r="I130" i="19"/>
  <c r="J130" i="19"/>
  <c r="H131" i="19"/>
  <c r="I131" i="19"/>
  <c r="J131" i="19"/>
  <c r="H132" i="19"/>
  <c r="I132" i="19"/>
  <c r="J132" i="19"/>
  <c r="H133" i="19"/>
  <c r="I133" i="19"/>
  <c r="J133" i="19"/>
  <c r="H134" i="19"/>
  <c r="I134" i="19"/>
  <c r="J134" i="19"/>
  <c r="H135" i="19"/>
  <c r="I135" i="19"/>
  <c r="J135" i="19"/>
  <c r="H136" i="19"/>
  <c r="I136" i="19"/>
  <c r="J136" i="19"/>
  <c r="H137" i="19"/>
  <c r="I137" i="19"/>
  <c r="J137" i="19"/>
  <c r="H138" i="19"/>
  <c r="I138" i="19"/>
  <c r="J138" i="19"/>
  <c r="H139" i="19"/>
  <c r="I139" i="19"/>
  <c r="J139" i="19"/>
  <c r="H140" i="19"/>
  <c r="I140" i="19"/>
  <c r="J140" i="19"/>
  <c r="J125" i="19"/>
  <c r="I125" i="19"/>
  <c r="H125" i="19"/>
  <c r="P113" i="19"/>
  <c r="H96" i="19"/>
  <c r="I96" i="19"/>
  <c r="J96" i="19"/>
  <c r="H97" i="19"/>
  <c r="I97" i="19"/>
  <c r="J97" i="19"/>
  <c r="H98" i="19"/>
  <c r="I98" i="19"/>
  <c r="J98" i="19"/>
  <c r="H99" i="19"/>
  <c r="I99" i="19"/>
  <c r="J99" i="19"/>
  <c r="H100" i="19"/>
  <c r="I100" i="19"/>
  <c r="J100" i="19"/>
  <c r="H101" i="19"/>
  <c r="I101" i="19"/>
  <c r="J101" i="19"/>
  <c r="H102" i="19"/>
  <c r="I102" i="19"/>
  <c r="J102" i="19"/>
  <c r="H103" i="19"/>
  <c r="I103" i="19"/>
  <c r="J103" i="19"/>
  <c r="H104" i="19"/>
  <c r="I104" i="19"/>
  <c r="J104" i="19"/>
  <c r="H105" i="19"/>
  <c r="I105" i="19"/>
  <c r="J105" i="19"/>
  <c r="H106" i="19"/>
  <c r="I106" i="19"/>
  <c r="J106" i="19"/>
  <c r="H107" i="19"/>
  <c r="I107" i="19"/>
  <c r="J107" i="19"/>
  <c r="H108" i="19"/>
  <c r="I108" i="19"/>
  <c r="J108" i="19"/>
  <c r="H109" i="19"/>
  <c r="I109" i="19"/>
  <c r="J109" i="19"/>
  <c r="H110" i="19"/>
  <c r="I110" i="19"/>
  <c r="J110" i="19"/>
  <c r="J95" i="19"/>
  <c r="I95" i="19"/>
  <c r="H95" i="19"/>
  <c r="P55" i="19"/>
  <c r="H38" i="19"/>
  <c r="I38" i="19"/>
  <c r="J38" i="19"/>
  <c r="H39" i="19"/>
  <c r="I39" i="19"/>
  <c r="J39" i="19"/>
  <c r="H40" i="19"/>
  <c r="I40" i="19"/>
  <c r="J40" i="19"/>
  <c r="H41" i="19"/>
  <c r="I41" i="19"/>
  <c r="J41" i="19"/>
  <c r="H42" i="19"/>
  <c r="I42" i="19"/>
  <c r="J42" i="19"/>
  <c r="H43" i="19"/>
  <c r="I43" i="19"/>
  <c r="J43" i="19"/>
  <c r="H44" i="19"/>
  <c r="I44" i="19"/>
  <c r="J44" i="19"/>
  <c r="H45" i="19"/>
  <c r="I45" i="19"/>
  <c r="J45" i="19"/>
  <c r="H46" i="19"/>
  <c r="I46" i="19"/>
  <c r="J46" i="19"/>
  <c r="H47" i="19"/>
  <c r="I47" i="19"/>
  <c r="J47" i="19"/>
  <c r="H48" i="19"/>
  <c r="I48" i="19"/>
  <c r="J48" i="19"/>
  <c r="H49" i="19"/>
  <c r="I49" i="19"/>
  <c r="J49" i="19"/>
  <c r="H50" i="19"/>
  <c r="I50" i="19"/>
  <c r="J50" i="19"/>
  <c r="H51" i="19"/>
  <c r="I51" i="19"/>
  <c r="J51" i="19"/>
  <c r="H52" i="19"/>
  <c r="I52" i="19"/>
  <c r="J52" i="19"/>
  <c r="H37" i="19"/>
  <c r="J37" i="19"/>
  <c r="I37" i="19"/>
  <c r="P145" i="22"/>
  <c r="H128" i="22"/>
  <c r="I128" i="22"/>
  <c r="J128" i="22"/>
  <c r="H129" i="22"/>
  <c r="I129" i="22"/>
  <c r="J129" i="22"/>
  <c r="H130" i="22"/>
  <c r="I130" i="22"/>
  <c r="J130" i="22"/>
  <c r="H131" i="22"/>
  <c r="I131" i="22"/>
  <c r="J131" i="22"/>
  <c r="H132" i="22"/>
  <c r="I132" i="22"/>
  <c r="J132" i="22"/>
  <c r="H133" i="22"/>
  <c r="I133" i="22"/>
  <c r="J133" i="22"/>
  <c r="H134" i="22"/>
  <c r="I134" i="22"/>
  <c r="J134" i="22"/>
  <c r="H135" i="22"/>
  <c r="I135" i="22"/>
  <c r="J135" i="22"/>
  <c r="H136" i="22"/>
  <c r="I136" i="22"/>
  <c r="J136" i="22"/>
  <c r="H137" i="22"/>
  <c r="I137" i="22"/>
  <c r="J137" i="22"/>
  <c r="H138" i="22"/>
  <c r="I138" i="22"/>
  <c r="J138" i="22"/>
  <c r="H139" i="22"/>
  <c r="I139" i="22"/>
  <c r="J139" i="22"/>
  <c r="H140" i="22"/>
  <c r="I140" i="22"/>
  <c r="J140" i="22"/>
  <c r="H141" i="22"/>
  <c r="I141" i="22"/>
  <c r="J141" i="22"/>
  <c r="H142" i="22"/>
  <c r="I142" i="22"/>
  <c r="J142" i="22"/>
  <c r="J127" i="22"/>
  <c r="I127" i="22"/>
  <c r="H127" i="22"/>
  <c r="P115" i="22"/>
  <c r="H98" i="22"/>
  <c r="I98" i="22"/>
  <c r="J98" i="22"/>
  <c r="H99" i="22"/>
  <c r="I99" i="22"/>
  <c r="J99" i="22"/>
  <c r="H100" i="22"/>
  <c r="I100" i="22"/>
  <c r="J100" i="22"/>
  <c r="H101" i="22"/>
  <c r="I101" i="22"/>
  <c r="J101" i="22"/>
  <c r="H102" i="22"/>
  <c r="I102" i="22"/>
  <c r="J102" i="22"/>
  <c r="H103" i="22"/>
  <c r="I103" i="22"/>
  <c r="J103" i="22"/>
  <c r="H104" i="22"/>
  <c r="I104" i="22"/>
  <c r="J104" i="22"/>
  <c r="H105" i="22"/>
  <c r="I105" i="22"/>
  <c r="J105" i="22"/>
  <c r="H106" i="22"/>
  <c r="I106" i="22"/>
  <c r="J106" i="22"/>
  <c r="H107" i="22"/>
  <c r="I107" i="22"/>
  <c r="J107" i="22"/>
  <c r="H108" i="22"/>
  <c r="I108" i="22"/>
  <c r="J108" i="22"/>
  <c r="H109" i="22"/>
  <c r="I109" i="22"/>
  <c r="J109" i="22"/>
  <c r="H110" i="22"/>
  <c r="I110" i="22"/>
  <c r="J110" i="22"/>
  <c r="H111" i="22"/>
  <c r="I111" i="22"/>
  <c r="J111" i="22"/>
  <c r="H112" i="22"/>
  <c r="I112" i="22"/>
  <c r="J112" i="22"/>
  <c r="J97" i="22"/>
  <c r="I97" i="22"/>
  <c r="H97" i="22"/>
  <c r="P86" i="22"/>
  <c r="H69" i="22"/>
  <c r="I69" i="22"/>
  <c r="J69" i="22"/>
  <c r="H70" i="22"/>
  <c r="I70" i="22"/>
  <c r="J70" i="22"/>
  <c r="H71" i="22"/>
  <c r="I71" i="22"/>
  <c r="J71" i="22"/>
  <c r="H72" i="22"/>
  <c r="I72" i="22"/>
  <c r="J72" i="22"/>
  <c r="H73" i="22"/>
  <c r="I73" i="22"/>
  <c r="J73" i="22"/>
  <c r="H74" i="22"/>
  <c r="I74" i="22"/>
  <c r="J74" i="22"/>
  <c r="H75" i="22"/>
  <c r="I75" i="22"/>
  <c r="J75" i="22"/>
  <c r="H76" i="22"/>
  <c r="I76" i="22"/>
  <c r="J76" i="22"/>
  <c r="H77" i="22"/>
  <c r="I77" i="22"/>
  <c r="J77" i="22"/>
  <c r="H78" i="22"/>
  <c r="I78" i="22"/>
  <c r="J78" i="22"/>
  <c r="H79" i="22"/>
  <c r="I79" i="22"/>
  <c r="J79" i="22"/>
  <c r="H80" i="22"/>
  <c r="I80" i="22"/>
  <c r="J80" i="22"/>
  <c r="H81" i="22"/>
  <c r="I81" i="22"/>
  <c r="J81" i="22"/>
  <c r="H82" i="22"/>
  <c r="I82" i="22"/>
  <c r="J82" i="22"/>
  <c r="H83" i="22"/>
  <c r="I83" i="22"/>
  <c r="J83" i="22"/>
  <c r="J68" i="22"/>
  <c r="H68" i="22"/>
  <c r="I68" i="22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Q239" i="3"/>
  <c r="R239" i="3"/>
  <c r="P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M247" i="3" s="1"/>
  <c r="D120" i="5" s="1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M255" i="3" s="1"/>
  <c r="D128" i="5" s="1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H239" i="3"/>
  <c r="I239" i="3"/>
  <c r="G239" i="3"/>
  <c r="P214" i="3"/>
  <c r="Q214" i="3"/>
  <c r="R214" i="3"/>
  <c r="S214" i="3"/>
  <c r="T214" i="3"/>
  <c r="P215" i="3"/>
  <c r="Q215" i="3"/>
  <c r="V215" i="3" s="1"/>
  <c r="N87" i="5" s="1"/>
  <c r="R215" i="3"/>
  <c r="S215" i="3"/>
  <c r="T215" i="3"/>
  <c r="P216" i="3"/>
  <c r="Q216" i="3"/>
  <c r="R216" i="3"/>
  <c r="S216" i="3"/>
  <c r="T216" i="3"/>
  <c r="P217" i="3"/>
  <c r="Q217" i="3"/>
  <c r="R217" i="3"/>
  <c r="S217" i="3"/>
  <c r="T217" i="3"/>
  <c r="P218" i="3"/>
  <c r="Q218" i="3"/>
  <c r="R218" i="3"/>
  <c r="S218" i="3"/>
  <c r="T218" i="3"/>
  <c r="P219" i="3"/>
  <c r="Q219" i="3"/>
  <c r="R219" i="3"/>
  <c r="S219" i="3"/>
  <c r="T219" i="3"/>
  <c r="P220" i="3"/>
  <c r="Q220" i="3"/>
  <c r="R220" i="3"/>
  <c r="S220" i="3"/>
  <c r="T220" i="3"/>
  <c r="P221" i="3"/>
  <c r="Q221" i="3"/>
  <c r="R221" i="3"/>
  <c r="S221" i="3"/>
  <c r="T221" i="3"/>
  <c r="P222" i="3"/>
  <c r="Q222" i="3"/>
  <c r="R222" i="3"/>
  <c r="S222" i="3"/>
  <c r="T222" i="3"/>
  <c r="P223" i="3"/>
  <c r="Q223" i="3"/>
  <c r="V223" i="3" s="1"/>
  <c r="N95" i="5" s="1"/>
  <c r="R223" i="3"/>
  <c r="S223" i="3"/>
  <c r="T223" i="3"/>
  <c r="P224" i="3"/>
  <c r="Q224" i="3"/>
  <c r="R224" i="3"/>
  <c r="S224" i="3"/>
  <c r="T224" i="3"/>
  <c r="P225" i="3"/>
  <c r="Q225" i="3"/>
  <c r="R225" i="3"/>
  <c r="S225" i="3"/>
  <c r="T225" i="3"/>
  <c r="P226" i="3"/>
  <c r="Q226" i="3"/>
  <c r="R226" i="3"/>
  <c r="S226" i="3"/>
  <c r="T226" i="3"/>
  <c r="P227" i="3"/>
  <c r="Q227" i="3"/>
  <c r="R227" i="3"/>
  <c r="S227" i="3"/>
  <c r="T227" i="3"/>
  <c r="P228" i="3"/>
  <c r="Q228" i="3"/>
  <c r="R228" i="3"/>
  <c r="S228" i="3"/>
  <c r="T228" i="3"/>
  <c r="P229" i="3"/>
  <c r="Q229" i="3"/>
  <c r="R229" i="3"/>
  <c r="S229" i="3"/>
  <c r="T229" i="3"/>
  <c r="P230" i="3"/>
  <c r="Q230" i="3"/>
  <c r="R230" i="3"/>
  <c r="S230" i="3"/>
  <c r="T230" i="3"/>
  <c r="P231" i="3"/>
  <c r="Q231" i="3"/>
  <c r="R231" i="3"/>
  <c r="S231" i="3"/>
  <c r="T231" i="3"/>
  <c r="P232" i="3"/>
  <c r="Q232" i="3"/>
  <c r="R232" i="3"/>
  <c r="S232" i="3"/>
  <c r="T232" i="3"/>
  <c r="V232" i="3" s="1"/>
  <c r="N104" i="5" s="1"/>
  <c r="P233" i="3"/>
  <c r="Q233" i="3"/>
  <c r="R233" i="3"/>
  <c r="S233" i="3"/>
  <c r="T233" i="3"/>
  <c r="Q213" i="3"/>
  <c r="R213" i="3"/>
  <c r="S213" i="3"/>
  <c r="T213" i="3"/>
  <c r="P213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13" i="3"/>
  <c r="M239" i="3"/>
  <c r="D112" i="5" s="1"/>
  <c r="M259" i="3"/>
  <c r="D132" i="5" s="1"/>
  <c r="V230" i="3"/>
  <c r="N102" i="5" s="1"/>
  <c r="V222" i="3"/>
  <c r="N94" i="5" s="1"/>
  <c r="V221" i="3"/>
  <c r="N93" i="5" s="1"/>
  <c r="M215" i="3"/>
  <c r="D87" i="5" s="1"/>
  <c r="V214" i="3"/>
  <c r="N86" i="5" s="1"/>
  <c r="V213" i="3"/>
  <c r="N85" i="5" s="1"/>
  <c r="M213" i="3"/>
  <c r="D85" i="5" s="1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V195" i="3" s="1"/>
  <c r="N66" i="5" s="1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Q187" i="3"/>
  <c r="R187" i="3"/>
  <c r="P187" i="3"/>
  <c r="G188" i="3"/>
  <c r="H188" i="3"/>
  <c r="I188" i="3"/>
  <c r="G189" i="3"/>
  <c r="H189" i="3"/>
  <c r="I189" i="3"/>
  <c r="G190" i="3"/>
  <c r="M190" i="3" s="1"/>
  <c r="D61" i="5" s="1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M198" i="3" s="1"/>
  <c r="D69" i="5" s="1"/>
  <c r="H198" i="3"/>
  <c r="I198" i="3"/>
  <c r="G199" i="3"/>
  <c r="H199" i="3"/>
  <c r="I199" i="3"/>
  <c r="G200" i="3"/>
  <c r="H200" i="3"/>
  <c r="M200" i="3" s="1"/>
  <c r="D71" i="5" s="1"/>
  <c r="I200" i="3"/>
  <c r="G201" i="3"/>
  <c r="H201" i="3"/>
  <c r="I201" i="3"/>
  <c r="G202" i="3"/>
  <c r="H202" i="3"/>
  <c r="I202" i="3"/>
  <c r="G203" i="3"/>
  <c r="M203" i="3" s="1"/>
  <c r="D74" i="5" s="1"/>
  <c r="H203" i="3"/>
  <c r="I203" i="3"/>
  <c r="G204" i="3"/>
  <c r="H204" i="3"/>
  <c r="M204" i="3" s="1"/>
  <c r="D75" i="5" s="1"/>
  <c r="I204" i="3"/>
  <c r="G205" i="3"/>
  <c r="H205" i="3"/>
  <c r="I205" i="3"/>
  <c r="G206" i="3"/>
  <c r="M206" i="3" s="1"/>
  <c r="D77" i="5" s="1"/>
  <c r="H206" i="3"/>
  <c r="I206" i="3"/>
  <c r="G207" i="3"/>
  <c r="M207" i="3" s="1"/>
  <c r="D78" i="5" s="1"/>
  <c r="H207" i="3"/>
  <c r="I207" i="3"/>
  <c r="H187" i="3"/>
  <c r="I187" i="3"/>
  <c r="G187" i="3"/>
  <c r="V207" i="3"/>
  <c r="N78" i="5" s="1"/>
  <c r="M205" i="3"/>
  <c r="D76" i="5" s="1"/>
  <c r="V204" i="3"/>
  <c r="N75" i="5" s="1"/>
  <c r="V202" i="3"/>
  <c r="N73" i="5" s="1"/>
  <c r="M202" i="3"/>
  <c r="D73" i="5" s="1"/>
  <c r="V199" i="3"/>
  <c r="N70" i="5" s="1"/>
  <c r="M199" i="3"/>
  <c r="D70" i="5" s="1"/>
  <c r="V197" i="3"/>
  <c r="N68" i="5" s="1"/>
  <c r="M197" i="3"/>
  <c r="D68" i="5" s="1"/>
  <c r="V196" i="3"/>
  <c r="N67" i="5" s="1"/>
  <c r="M196" i="3"/>
  <c r="D67" i="5" s="1"/>
  <c r="M195" i="3"/>
  <c r="D66" i="5" s="1"/>
  <c r="V194" i="3"/>
  <c r="N65" i="5" s="1"/>
  <c r="M194" i="3"/>
  <c r="D65" i="5" s="1"/>
  <c r="V193" i="3"/>
  <c r="N64" i="5" s="1"/>
  <c r="M192" i="3"/>
  <c r="D63" i="5" s="1"/>
  <c r="V191" i="3"/>
  <c r="N62" i="5" s="1"/>
  <c r="M191" i="3"/>
  <c r="D62" i="5" s="1"/>
  <c r="V189" i="3"/>
  <c r="N60" i="5" s="1"/>
  <c r="M189" i="3"/>
  <c r="D60" i="5" s="1"/>
  <c r="V188" i="3"/>
  <c r="N59" i="5" s="1"/>
  <c r="M188" i="3"/>
  <c r="D59" i="5" s="1"/>
  <c r="V187" i="3"/>
  <c r="N58" i="5" s="1"/>
  <c r="M187" i="3"/>
  <c r="D58" i="5" s="1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P163" i="3"/>
  <c r="P164" i="3"/>
  <c r="P165" i="3"/>
  <c r="P166" i="3"/>
  <c r="P167" i="3"/>
  <c r="P168" i="3"/>
  <c r="V168" i="3" s="1"/>
  <c r="N37" i="5" s="1"/>
  <c r="P169" i="3"/>
  <c r="P170" i="3"/>
  <c r="V170" i="3" s="1"/>
  <c r="N39" i="5" s="1"/>
  <c r="P171" i="3"/>
  <c r="P172" i="3"/>
  <c r="P173" i="3"/>
  <c r="P174" i="3"/>
  <c r="P175" i="3"/>
  <c r="V175" i="3" s="1"/>
  <c r="N44" i="5" s="1"/>
  <c r="P176" i="3"/>
  <c r="P177" i="3"/>
  <c r="P178" i="3"/>
  <c r="P179" i="3"/>
  <c r="P180" i="3"/>
  <c r="P181" i="3"/>
  <c r="P182" i="3"/>
  <c r="P162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H162" i="3"/>
  <c r="I162" i="3"/>
  <c r="G162" i="3"/>
  <c r="M162" i="3" s="1"/>
  <c r="D31" i="5" s="1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V174" i="3"/>
  <c r="N43" i="5" s="1"/>
  <c r="I174" i="3"/>
  <c r="H174" i="3"/>
  <c r="M174" i="3" s="1"/>
  <c r="D43" i="5" s="1"/>
  <c r="G174" i="3"/>
  <c r="I173" i="3"/>
  <c r="H173" i="3"/>
  <c r="G173" i="3"/>
  <c r="V172" i="3"/>
  <c r="N41" i="5" s="1"/>
  <c r="I172" i="3"/>
  <c r="H172" i="3"/>
  <c r="G172" i="3"/>
  <c r="V171" i="3"/>
  <c r="N40" i="5" s="1"/>
  <c r="I171" i="3"/>
  <c r="H171" i="3"/>
  <c r="G171" i="3"/>
  <c r="I170" i="3"/>
  <c r="M170" i="3" s="1"/>
  <c r="D39" i="5" s="1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V162" i="3"/>
  <c r="N31" i="5" s="1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39" i="2"/>
  <c r="E160" i="2"/>
  <c r="F160" i="2"/>
  <c r="G160" i="2"/>
  <c r="H160" i="2"/>
  <c r="D160" i="2"/>
  <c r="V203" i="3" l="1"/>
  <c r="N74" i="5" s="1"/>
  <c r="V201" i="3"/>
  <c r="N72" i="5" s="1"/>
  <c r="V198" i="3"/>
  <c r="N69" i="5" s="1"/>
  <c r="M201" i="3"/>
  <c r="D72" i="5" s="1"/>
  <c r="M193" i="3"/>
  <c r="D64" i="5" s="1"/>
  <c r="V206" i="3"/>
  <c r="N77" i="5" s="1"/>
  <c r="V190" i="3"/>
  <c r="N61" i="5" s="1"/>
  <c r="V205" i="3"/>
  <c r="N76" i="5" s="1"/>
  <c r="V200" i="3"/>
  <c r="N71" i="5" s="1"/>
  <c r="V192" i="3"/>
  <c r="N63" i="5" s="1"/>
  <c r="V173" i="3"/>
  <c r="N42" i="5" s="1"/>
  <c r="V169" i="3"/>
  <c r="N38" i="5" s="1"/>
  <c r="V228" i="3"/>
  <c r="N100" i="5" s="1"/>
  <c r="V220" i="3"/>
  <c r="N92" i="5" s="1"/>
  <c r="M214" i="3"/>
  <c r="D86" i="5" s="1"/>
  <c r="V229" i="3"/>
  <c r="N101" i="5" s="1"/>
  <c r="V227" i="3"/>
  <c r="N99" i="5" s="1"/>
  <c r="V226" i="3"/>
  <c r="N98" i="5" s="1"/>
  <c r="V219" i="3"/>
  <c r="N91" i="5" s="1"/>
  <c r="V218" i="3"/>
  <c r="N90" i="5" s="1"/>
  <c r="V216" i="3"/>
  <c r="N88" i="5" s="1"/>
  <c r="M216" i="3"/>
  <c r="D88" i="5" s="1"/>
  <c r="V233" i="3"/>
  <c r="N105" i="5" s="1"/>
  <c r="V231" i="3"/>
  <c r="N103" i="5" s="1"/>
  <c r="V225" i="3"/>
  <c r="N97" i="5" s="1"/>
  <c r="V217" i="3"/>
  <c r="N89" i="5" s="1"/>
  <c r="S94" i="31"/>
  <c r="T94" i="31" s="1"/>
  <c r="Y6" i="28"/>
  <c r="Z6" i="28" s="1"/>
  <c r="S6" i="28"/>
  <c r="T6" i="28" s="1"/>
  <c r="Y63" i="28"/>
  <c r="Z63" i="28" s="1"/>
  <c r="Y64" i="28"/>
  <c r="Z64" i="28" s="1"/>
  <c r="S64" i="28"/>
  <c r="T64" i="28" s="1"/>
  <c r="Y62" i="28"/>
  <c r="Z62" i="28" s="1"/>
  <c r="M243" i="3"/>
  <c r="D116" i="5" s="1"/>
  <c r="M251" i="3"/>
  <c r="D124" i="5" s="1"/>
  <c r="V224" i="3"/>
  <c r="N96" i="5" s="1"/>
  <c r="M220" i="3"/>
  <c r="D92" i="5" s="1"/>
  <c r="M224" i="3"/>
  <c r="D96" i="5" s="1"/>
  <c r="M228" i="3"/>
  <c r="D100" i="5" s="1"/>
  <c r="M232" i="3"/>
  <c r="D104" i="5" s="1"/>
  <c r="M217" i="3"/>
  <c r="D89" i="5" s="1"/>
  <c r="M221" i="3"/>
  <c r="D93" i="5" s="1"/>
  <c r="M225" i="3"/>
  <c r="D97" i="5" s="1"/>
  <c r="M229" i="3"/>
  <c r="D101" i="5" s="1"/>
  <c r="M233" i="3"/>
  <c r="D105" i="5" s="1"/>
  <c r="M219" i="3"/>
  <c r="D91" i="5" s="1"/>
  <c r="M223" i="3"/>
  <c r="D95" i="5" s="1"/>
  <c r="M227" i="3"/>
  <c r="D99" i="5" s="1"/>
  <c r="M231" i="3"/>
  <c r="D103" i="5" s="1"/>
  <c r="M218" i="3"/>
  <c r="D90" i="5" s="1"/>
  <c r="M222" i="3"/>
  <c r="D94" i="5" s="1"/>
  <c r="M226" i="3"/>
  <c r="D98" i="5" s="1"/>
  <c r="M230" i="3"/>
  <c r="D102" i="5" s="1"/>
  <c r="M240" i="3"/>
  <c r="D113" i="5" s="1"/>
  <c r="M244" i="3"/>
  <c r="D117" i="5" s="1"/>
  <c r="M248" i="3"/>
  <c r="D121" i="5" s="1"/>
  <c r="M252" i="3"/>
  <c r="D125" i="5" s="1"/>
  <c r="M256" i="3"/>
  <c r="D129" i="5" s="1"/>
  <c r="V241" i="3"/>
  <c r="N114" i="5" s="1"/>
  <c r="V245" i="3"/>
  <c r="N118" i="5" s="1"/>
  <c r="V249" i="3"/>
  <c r="N122" i="5" s="1"/>
  <c r="V253" i="3"/>
  <c r="N126" i="5" s="1"/>
  <c r="V257" i="3"/>
  <c r="N130" i="5" s="1"/>
  <c r="V239" i="3"/>
  <c r="N112" i="5" s="1"/>
  <c r="V243" i="3"/>
  <c r="N116" i="5" s="1"/>
  <c r="V247" i="3"/>
  <c r="N120" i="5" s="1"/>
  <c r="V251" i="3"/>
  <c r="N124" i="5" s="1"/>
  <c r="V255" i="3"/>
  <c r="N128" i="5" s="1"/>
  <c r="V259" i="3"/>
  <c r="N132" i="5" s="1"/>
  <c r="V240" i="3"/>
  <c r="N113" i="5" s="1"/>
  <c r="V244" i="3"/>
  <c r="N117" i="5" s="1"/>
  <c r="V248" i="3"/>
  <c r="N121" i="5" s="1"/>
  <c r="V252" i="3"/>
  <c r="N125" i="5" s="1"/>
  <c r="V256" i="3"/>
  <c r="N129" i="5" s="1"/>
  <c r="M242" i="3"/>
  <c r="D115" i="5" s="1"/>
  <c r="M246" i="3"/>
  <c r="D119" i="5" s="1"/>
  <c r="M250" i="3"/>
  <c r="D123" i="5" s="1"/>
  <c r="M254" i="3"/>
  <c r="D127" i="5" s="1"/>
  <c r="M258" i="3"/>
  <c r="D131" i="5" s="1"/>
  <c r="M241" i="3"/>
  <c r="D114" i="5" s="1"/>
  <c r="M245" i="3"/>
  <c r="D118" i="5" s="1"/>
  <c r="M249" i="3"/>
  <c r="D122" i="5" s="1"/>
  <c r="M253" i="3"/>
  <c r="D126" i="5" s="1"/>
  <c r="M257" i="3"/>
  <c r="D130" i="5" s="1"/>
  <c r="V242" i="3"/>
  <c r="N115" i="5" s="1"/>
  <c r="V246" i="3"/>
  <c r="N119" i="5" s="1"/>
  <c r="V250" i="3"/>
  <c r="N123" i="5" s="1"/>
  <c r="V254" i="3"/>
  <c r="N127" i="5" s="1"/>
  <c r="V258" i="3"/>
  <c r="N131" i="5" s="1"/>
  <c r="M172" i="3"/>
  <c r="D41" i="5" s="1"/>
  <c r="M167" i="3"/>
  <c r="D36" i="5" s="1"/>
  <c r="M168" i="3"/>
  <c r="D37" i="5" s="1"/>
  <c r="M163" i="3"/>
  <c r="D32" i="5" s="1"/>
  <c r="M164" i="3"/>
  <c r="D33" i="5" s="1"/>
  <c r="M165" i="3"/>
  <c r="D34" i="5" s="1"/>
  <c r="M166" i="3"/>
  <c r="D35" i="5" s="1"/>
  <c r="M175" i="3"/>
  <c r="D44" i="5" s="1"/>
  <c r="M176" i="3"/>
  <c r="D45" i="5" s="1"/>
  <c r="M177" i="3"/>
  <c r="D46" i="5" s="1"/>
  <c r="M178" i="3"/>
  <c r="D47" i="5" s="1"/>
  <c r="M179" i="3"/>
  <c r="D48" i="5" s="1"/>
  <c r="M180" i="3"/>
  <c r="D49" i="5" s="1"/>
  <c r="M181" i="3"/>
  <c r="D50" i="5" s="1"/>
  <c r="M182" i="3"/>
  <c r="D51" i="5" s="1"/>
  <c r="V176" i="3"/>
  <c r="N45" i="5" s="1"/>
  <c r="V177" i="3"/>
  <c r="N46" i="5" s="1"/>
  <c r="V163" i="3"/>
  <c r="N32" i="5" s="1"/>
  <c r="M169" i="3"/>
  <c r="D38" i="5" s="1"/>
  <c r="V178" i="3"/>
  <c r="N47" i="5" s="1"/>
  <c r="V179" i="3"/>
  <c r="N48" i="5" s="1"/>
  <c r="V164" i="3"/>
  <c r="N33" i="5" s="1"/>
  <c r="V165" i="3"/>
  <c r="N34" i="5" s="1"/>
  <c r="M171" i="3"/>
  <c r="D40" i="5" s="1"/>
  <c r="V180" i="3"/>
  <c r="N49" i="5" s="1"/>
  <c r="V181" i="3"/>
  <c r="N50" i="5" s="1"/>
  <c r="V166" i="3"/>
  <c r="N35" i="5" s="1"/>
  <c r="V167" i="3"/>
  <c r="N36" i="5" s="1"/>
  <c r="M173" i="3"/>
  <c r="D42" i="5" s="1"/>
  <c r="V182" i="3"/>
  <c r="N51" i="5" s="1"/>
  <c r="H9" i="22"/>
  <c r="I9" i="22"/>
  <c r="J9" i="22"/>
  <c r="H10" i="22"/>
  <c r="I10" i="22"/>
  <c r="J10" i="22"/>
  <c r="H11" i="22"/>
  <c r="I11" i="22"/>
  <c r="J11" i="22"/>
  <c r="H12" i="22"/>
  <c r="I12" i="22"/>
  <c r="J12" i="22"/>
  <c r="H13" i="22"/>
  <c r="I13" i="22"/>
  <c r="J13" i="22"/>
  <c r="H14" i="22"/>
  <c r="I14" i="22"/>
  <c r="J14" i="22"/>
  <c r="H15" i="22"/>
  <c r="I15" i="22"/>
  <c r="J15" i="22"/>
  <c r="H16" i="22"/>
  <c r="I16" i="22"/>
  <c r="J16" i="22"/>
  <c r="H17" i="22"/>
  <c r="I17" i="22"/>
  <c r="J17" i="22"/>
  <c r="H18" i="22"/>
  <c r="I18" i="22"/>
  <c r="J18" i="22"/>
  <c r="H19" i="22"/>
  <c r="I19" i="22"/>
  <c r="J19" i="22"/>
  <c r="H20" i="22"/>
  <c r="I20" i="22"/>
  <c r="J20" i="22"/>
  <c r="H21" i="22"/>
  <c r="I21" i="22"/>
  <c r="J21" i="22"/>
  <c r="H22" i="22"/>
  <c r="I22" i="22"/>
  <c r="J22" i="22"/>
  <c r="H23" i="22"/>
  <c r="I23" i="22"/>
  <c r="J23" i="22"/>
  <c r="H8" i="22"/>
  <c r="J8" i="22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H14" i="19"/>
  <c r="I14" i="19"/>
  <c r="J14" i="19"/>
  <c r="H15" i="19"/>
  <c r="I15" i="19"/>
  <c r="J15" i="19"/>
  <c r="H16" i="19"/>
  <c r="I16" i="19"/>
  <c r="J16" i="19"/>
  <c r="H17" i="19"/>
  <c r="I17" i="19"/>
  <c r="J17" i="19"/>
  <c r="H18" i="19"/>
  <c r="I18" i="19"/>
  <c r="J18" i="19"/>
  <c r="H19" i="19"/>
  <c r="I19" i="19"/>
  <c r="J19" i="19"/>
  <c r="H20" i="19"/>
  <c r="I20" i="19"/>
  <c r="J20" i="19"/>
  <c r="H21" i="19"/>
  <c r="I21" i="19"/>
  <c r="J21" i="19"/>
  <c r="H22" i="19"/>
  <c r="I22" i="19"/>
  <c r="J22" i="19"/>
  <c r="H23" i="19"/>
  <c r="I23" i="19"/>
  <c r="J23" i="19"/>
  <c r="H8" i="19"/>
  <c r="J8" i="19"/>
  <c r="T31" i="16"/>
  <c r="J31" i="16"/>
  <c r="T17" i="16"/>
  <c r="J24" i="16"/>
  <c r="T24" i="16"/>
  <c r="J17" i="16"/>
  <c r="T10" i="16"/>
  <c r="J10" i="16"/>
  <c r="P26" i="22"/>
  <c r="I8" i="22"/>
  <c r="T110" i="5"/>
  <c r="J110" i="5"/>
  <c r="T83" i="5"/>
  <c r="J83" i="5"/>
  <c r="T56" i="5"/>
  <c r="J56" i="5"/>
  <c r="J29" i="5"/>
  <c r="T29" i="5"/>
  <c r="T3" i="5"/>
  <c r="P26" i="19"/>
  <c r="I8" i="19"/>
  <c r="S67" i="31" l="1"/>
  <c r="T67" i="31" s="1"/>
  <c r="Y67" i="31"/>
  <c r="Z67" i="31" s="1"/>
  <c r="Y66" i="31"/>
  <c r="Z66" i="31" s="1"/>
  <c r="S66" i="31"/>
  <c r="T66" i="31" s="1"/>
  <c r="Y65" i="31"/>
  <c r="Z65" i="31" s="1"/>
  <c r="S65" i="31"/>
  <c r="T65" i="31" s="1"/>
  <c r="Y126" i="31"/>
  <c r="Z126" i="31" s="1"/>
  <c r="S126" i="31"/>
  <c r="T126" i="31" s="1"/>
  <c r="S37" i="31"/>
  <c r="T37" i="31" s="1"/>
  <c r="Y37" i="31"/>
  <c r="Z37" i="31" s="1"/>
  <c r="Y6" i="31"/>
  <c r="Z6" i="31" s="1"/>
  <c r="S6" i="31"/>
  <c r="T6" i="31" s="1"/>
  <c r="S36" i="31"/>
  <c r="T36" i="31" s="1"/>
  <c r="Y36" i="31"/>
  <c r="Z36" i="31" s="1"/>
  <c r="Y124" i="31"/>
  <c r="Z124" i="31" s="1"/>
  <c r="S124" i="31"/>
  <c r="T124" i="31" s="1"/>
  <c r="S35" i="31"/>
  <c r="T35" i="31" s="1"/>
  <c r="Y35" i="31"/>
  <c r="Z35" i="31" s="1"/>
  <c r="Y125" i="31"/>
  <c r="Z125" i="31" s="1"/>
  <c r="S125" i="31"/>
  <c r="T125" i="31" s="1"/>
  <c r="S95" i="31"/>
  <c r="T95" i="31" s="1"/>
  <c r="Y95" i="31"/>
  <c r="Z95" i="31" s="1"/>
  <c r="Y96" i="31"/>
  <c r="Z96" i="31" s="1"/>
  <c r="S96" i="31"/>
  <c r="T96" i="31" s="1"/>
  <c r="S5" i="31"/>
  <c r="T5" i="31" s="1"/>
  <c r="Y5" i="31"/>
  <c r="Z5" i="31" s="1"/>
  <c r="Y7" i="31"/>
  <c r="Z7" i="31" s="1"/>
  <c r="S7" i="31"/>
  <c r="T7" i="31" s="1"/>
  <c r="Y4" i="28"/>
  <c r="Z4" i="28" s="1"/>
  <c r="S4" i="28"/>
  <c r="T4" i="28" s="1"/>
  <c r="S33" i="28"/>
  <c r="T33" i="28" s="1"/>
  <c r="Y33" i="28"/>
  <c r="Z33" i="28" s="1"/>
  <c r="Y93" i="28"/>
  <c r="Z93" i="28" s="1"/>
  <c r="S93" i="28"/>
  <c r="T93" i="28" s="1"/>
  <c r="Y5" i="28"/>
  <c r="Z5" i="28" s="1"/>
  <c r="S5" i="28"/>
  <c r="T5" i="28" s="1"/>
  <c r="Y92" i="28"/>
  <c r="Z92" i="28" s="1"/>
  <c r="S92" i="28"/>
  <c r="T92" i="28" s="1"/>
  <c r="Y122" i="28"/>
  <c r="Z122" i="28" s="1"/>
  <c r="S122" i="28"/>
  <c r="T122" i="28" s="1"/>
  <c r="Y121" i="28"/>
  <c r="Z121" i="28" s="1"/>
  <c r="S121" i="28"/>
  <c r="T121" i="28" s="1"/>
  <c r="Y123" i="28"/>
  <c r="Z123" i="28" s="1"/>
  <c r="S123" i="28"/>
  <c r="T123" i="28" s="1"/>
  <c r="S34" i="28"/>
  <c r="T34" i="28" s="1"/>
  <c r="Y34" i="28"/>
  <c r="Z34" i="28" s="1"/>
  <c r="Y91" i="28"/>
  <c r="Z91" i="28" s="1"/>
  <c r="S91" i="28"/>
  <c r="T91" i="28" s="1"/>
  <c r="Y35" i="28"/>
  <c r="Z35" i="28" s="1"/>
  <c r="S35" i="28"/>
  <c r="T35" i="28" s="1"/>
  <c r="A7" i="13"/>
  <c r="A6" i="13"/>
  <c r="A5" i="13"/>
  <c r="A7" i="12"/>
  <c r="A6" i="12"/>
  <c r="A5" i="12"/>
  <c r="K34" i="12"/>
  <c r="L34" i="12"/>
  <c r="M34" i="12"/>
  <c r="N34" i="12"/>
  <c r="K35" i="12"/>
  <c r="L35" i="12"/>
  <c r="M35" i="12"/>
  <c r="N35" i="12"/>
  <c r="L33" i="12"/>
  <c r="M33" i="12"/>
  <c r="N33" i="12"/>
  <c r="K33" i="12"/>
  <c r="C34" i="12"/>
  <c r="D34" i="12"/>
  <c r="E34" i="12"/>
  <c r="F34" i="12"/>
  <c r="C35" i="12"/>
  <c r="D35" i="12"/>
  <c r="E35" i="12"/>
  <c r="F35" i="12"/>
  <c r="D33" i="12"/>
  <c r="E33" i="12"/>
  <c r="F33" i="12"/>
  <c r="C33" i="12"/>
  <c r="K27" i="12"/>
  <c r="L27" i="12"/>
  <c r="M27" i="12"/>
  <c r="N27" i="12"/>
  <c r="K28" i="12"/>
  <c r="L28" i="12"/>
  <c r="M28" i="12"/>
  <c r="N28" i="12"/>
  <c r="L26" i="12"/>
  <c r="M26" i="12"/>
  <c r="N26" i="12"/>
  <c r="K26" i="12"/>
  <c r="C27" i="12"/>
  <c r="D27" i="12"/>
  <c r="E27" i="12"/>
  <c r="F27" i="12"/>
  <c r="C28" i="12"/>
  <c r="D28" i="12"/>
  <c r="E28" i="12"/>
  <c r="F28" i="12"/>
  <c r="D26" i="12"/>
  <c r="E26" i="12"/>
  <c r="F26" i="12"/>
  <c r="C26" i="12"/>
  <c r="K20" i="12"/>
  <c r="L20" i="12"/>
  <c r="M20" i="12"/>
  <c r="N20" i="12"/>
  <c r="K21" i="12"/>
  <c r="L21" i="12"/>
  <c r="M21" i="12"/>
  <c r="N21" i="12"/>
  <c r="L19" i="12"/>
  <c r="M19" i="12"/>
  <c r="N19" i="12"/>
  <c r="K19" i="12"/>
  <c r="C20" i="12"/>
  <c r="D20" i="12"/>
  <c r="E20" i="12"/>
  <c r="F20" i="12"/>
  <c r="C21" i="12"/>
  <c r="D21" i="12"/>
  <c r="E21" i="12"/>
  <c r="F21" i="12"/>
  <c r="D19" i="12"/>
  <c r="E19" i="12"/>
  <c r="F19" i="12"/>
  <c r="C19" i="12"/>
  <c r="K13" i="12"/>
  <c r="L13" i="12"/>
  <c r="M13" i="12"/>
  <c r="N13" i="12"/>
  <c r="K14" i="12"/>
  <c r="L14" i="12"/>
  <c r="M14" i="12"/>
  <c r="N14" i="12"/>
  <c r="L12" i="12"/>
  <c r="M12" i="12"/>
  <c r="N12" i="12"/>
  <c r="K12" i="12"/>
  <c r="C13" i="12"/>
  <c r="D13" i="12"/>
  <c r="E13" i="12"/>
  <c r="F13" i="12"/>
  <c r="C14" i="12"/>
  <c r="D14" i="12"/>
  <c r="E14" i="12"/>
  <c r="F14" i="12"/>
  <c r="D12" i="12"/>
  <c r="E12" i="12"/>
  <c r="F12" i="12"/>
  <c r="C12" i="12"/>
  <c r="K6" i="12"/>
  <c r="L6" i="12"/>
  <c r="M6" i="12"/>
  <c r="N6" i="12"/>
  <c r="K7" i="12"/>
  <c r="L7" i="12"/>
  <c r="M7" i="12"/>
  <c r="N7" i="12"/>
  <c r="L5" i="12"/>
  <c r="M5" i="12"/>
  <c r="N5" i="12"/>
  <c r="K5" i="12"/>
  <c r="C6" i="12"/>
  <c r="D6" i="12"/>
  <c r="E6" i="12"/>
  <c r="F6" i="12"/>
  <c r="C7" i="12"/>
  <c r="D7" i="12"/>
  <c r="E7" i="12"/>
  <c r="F7" i="12"/>
  <c r="D5" i="12"/>
  <c r="E5" i="12"/>
  <c r="F5" i="12"/>
  <c r="C5" i="12"/>
  <c r="C137" i="3" l="1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36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6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10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84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8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P35" i="16"/>
  <c r="S35" i="16" s="1"/>
  <c r="F35" i="16"/>
  <c r="I35" i="16" s="1"/>
  <c r="P34" i="16"/>
  <c r="S34" i="16" s="1"/>
  <c r="F34" i="16"/>
  <c r="I34" i="16" s="1"/>
  <c r="P33" i="16"/>
  <c r="S33" i="16" s="1"/>
  <c r="F33" i="16"/>
  <c r="I33" i="16" s="1"/>
  <c r="P28" i="16"/>
  <c r="S28" i="16" s="1"/>
  <c r="F28" i="16"/>
  <c r="I28" i="16" s="1"/>
  <c r="P27" i="16"/>
  <c r="S27" i="16" s="1"/>
  <c r="F27" i="16"/>
  <c r="I27" i="16" s="1"/>
  <c r="P26" i="16"/>
  <c r="S26" i="16" s="1"/>
  <c r="F26" i="16"/>
  <c r="I26" i="16" s="1"/>
  <c r="P21" i="16"/>
  <c r="S21" i="16" s="1"/>
  <c r="F21" i="16"/>
  <c r="I21" i="16" s="1"/>
  <c r="P20" i="16"/>
  <c r="S20" i="16" s="1"/>
  <c r="F20" i="16"/>
  <c r="I20" i="16" s="1"/>
  <c r="P19" i="16"/>
  <c r="S19" i="16" s="1"/>
  <c r="F19" i="16"/>
  <c r="I19" i="16" s="1"/>
  <c r="P14" i="16"/>
  <c r="S14" i="16" s="1"/>
  <c r="F14" i="16"/>
  <c r="I14" i="16" s="1"/>
  <c r="P13" i="16"/>
  <c r="S13" i="16" s="1"/>
  <c r="F13" i="16"/>
  <c r="I13" i="16" s="1"/>
  <c r="P12" i="16"/>
  <c r="S12" i="16" s="1"/>
  <c r="F12" i="16"/>
  <c r="I12" i="16" s="1"/>
  <c r="P7" i="16"/>
  <c r="S7" i="16" s="1"/>
  <c r="F7" i="16"/>
  <c r="I7" i="16" s="1"/>
  <c r="P6" i="16"/>
  <c r="S6" i="16" s="1"/>
  <c r="F6" i="16"/>
  <c r="I6" i="16" s="1"/>
  <c r="P5" i="16"/>
  <c r="S5" i="16" s="1"/>
  <c r="F5" i="16"/>
  <c r="I5" i="16" s="1"/>
  <c r="M35" i="13"/>
  <c r="Q35" i="13" s="1"/>
  <c r="M34" i="13"/>
  <c r="Q34" i="13" s="1"/>
  <c r="M33" i="13"/>
  <c r="Q33" i="13" s="1"/>
  <c r="D35" i="13"/>
  <c r="H35" i="13" s="1"/>
  <c r="D34" i="13"/>
  <c r="H34" i="13" s="1"/>
  <c r="D33" i="13"/>
  <c r="H33" i="13" s="1"/>
  <c r="M28" i="13"/>
  <c r="Q28" i="13" s="1"/>
  <c r="M27" i="13"/>
  <c r="Q27" i="13" s="1"/>
  <c r="M26" i="13"/>
  <c r="Q26" i="13" s="1"/>
  <c r="D28" i="13"/>
  <c r="H28" i="13" s="1"/>
  <c r="D27" i="13"/>
  <c r="H27" i="13" s="1"/>
  <c r="D26" i="13"/>
  <c r="H26" i="13" s="1"/>
  <c r="M21" i="13"/>
  <c r="Q21" i="13" s="1"/>
  <c r="M20" i="13"/>
  <c r="Q20" i="13" s="1"/>
  <c r="M19" i="13"/>
  <c r="Q19" i="13" s="1"/>
  <c r="D21" i="13"/>
  <c r="H21" i="13" s="1"/>
  <c r="D20" i="13"/>
  <c r="H20" i="13" s="1"/>
  <c r="D19" i="13"/>
  <c r="H19" i="13" s="1"/>
  <c r="D7" i="13"/>
  <c r="H7" i="13" s="1"/>
  <c r="D6" i="13"/>
  <c r="H6" i="13" s="1"/>
  <c r="D5" i="13"/>
  <c r="H5" i="13" s="1"/>
  <c r="M13" i="13"/>
  <c r="Q13" i="13" s="1"/>
  <c r="M14" i="13"/>
  <c r="M12" i="13"/>
  <c r="Q12" i="13" s="1"/>
  <c r="D13" i="13"/>
  <c r="H13" i="13" s="1"/>
  <c r="D14" i="13"/>
  <c r="D12" i="13"/>
  <c r="H12" i="13" s="1"/>
  <c r="M6" i="13"/>
  <c r="Q6" i="13" s="1"/>
  <c r="M7" i="13"/>
  <c r="Q7" i="13" s="1"/>
  <c r="M5" i="13"/>
  <c r="Q5" i="13" s="1"/>
  <c r="G136" i="3"/>
  <c r="H136" i="3"/>
  <c r="I136" i="3"/>
  <c r="P136" i="3"/>
  <c r="Q136" i="3"/>
  <c r="R136" i="3"/>
  <c r="S136" i="3"/>
  <c r="T136" i="3"/>
  <c r="G137" i="3"/>
  <c r="H137" i="3"/>
  <c r="I137" i="3"/>
  <c r="P137" i="3"/>
  <c r="Q137" i="3"/>
  <c r="R137" i="3"/>
  <c r="S137" i="3"/>
  <c r="T137" i="3"/>
  <c r="G138" i="3"/>
  <c r="H138" i="3"/>
  <c r="I138" i="3"/>
  <c r="P138" i="3"/>
  <c r="Q138" i="3"/>
  <c r="R138" i="3"/>
  <c r="S138" i="3"/>
  <c r="T138" i="3"/>
  <c r="G139" i="3"/>
  <c r="H139" i="3"/>
  <c r="I139" i="3"/>
  <c r="P139" i="3"/>
  <c r="Q139" i="3"/>
  <c r="R139" i="3"/>
  <c r="S139" i="3"/>
  <c r="T139" i="3"/>
  <c r="G140" i="3"/>
  <c r="H140" i="3"/>
  <c r="I140" i="3"/>
  <c r="P140" i="3"/>
  <c r="Q140" i="3"/>
  <c r="R140" i="3"/>
  <c r="S140" i="3"/>
  <c r="T140" i="3"/>
  <c r="G141" i="3"/>
  <c r="H141" i="3"/>
  <c r="I141" i="3"/>
  <c r="P141" i="3"/>
  <c r="Q141" i="3"/>
  <c r="R141" i="3"/>
  <c r="S141" i="3"/>
  <c r="T141" i="3"/>
  <c r="G142" i="3"/>
  <c r="H142" i="3"/>
  <c r="I142" i="3"/>
  <c r="P142" i="3"/>
  <c r="Q142" i="3"/>
  <c r="R142" i="3"/>
  <c r="S142" i="3"/>
  <c r="T142" i="3"/>
  <c r="G143" i="3"/>
  <c r="H143" i="3"/>
  <c r="I143" i="3"/>
  <c r="P143" i="3"/>
  <c r="Q143" i="3"/>
  <c r="R143" i="3"/>
  <c r="S143" i="3"/>
  <c r="T143" i="3"/>
  <c r="G144" i="3"/>
  <c r="H144" i="3"/>
  <c r="I144" i="3"/>
  <c r="P144" i="3"/>
  <c r="Q144" i="3"/>
  <c r="R144" i="3"/>
  <c r="S144" i="3"/>
  <c r="T144" i="3"/>
  <c r="G145" i="3"/>
  <c r="H145" i="3"/>
  <c r="I145" i="3"/>
  <c r="P145" i="3"/>
  <c r="Q145" i="3"/>
  <c r="R145" i="3"/>
  <c r="S145" i="3"/>
  <c r="T145" i="3"/>
  <c r="G146" i="3"/>
  <c r="H146" i="3"/>
  <c r="I146" i="3"/>
  <c r="P146" i="3"/>
  <c r="Q146" i="3"/>
  <c r="R146" i="3"/>
  <c r="S146" i="3"/>
  <c r="T146" i="3"/>
  <c r="G147" i="3"/>
  <c r="H147" i="3"/>
  <c r="I147" i="3"/>
  <c r="P147" i="3"/>
  <c r="Q147" i="3"/>
  <c r="R147" i="3"/>
  <c r="S147" i="3"/>
  <c r="T147" i="3"/>
  <c r="G148" i="3"/>
  <c r="H148" i="3"/>
  <c r="I148" i="3"/>
  <c r="P148" i="3"/>
  <c r="Q148" i="3"/>
  <c r="R148" i="3"/>
  <c r="S148" i="3"/>
  <c r="T148" i="3"/>
  <c r="G149" i="3"/>
  <c r="H149" i="3"/>
  <c r="I149" i="3"/>
  <c r="P149" i="3"/>
  <c r="Q149" i="3"/>
  <c r="R149" i="3"/>
  <c r="S149" i="3"/>
  <c r="T149" i="3"/>
  <c r="G150" i="3"/>
  <c r="H150" i="3"/>
  <c r="I150" i="3"/>
  <c r="P150" i="3"/>
  <c r="Q150" i="3"/>
  <c r="R150" i="3"/>
  <c r="S150" i="3"/>
  <c r="T150" i="3"/>
  <c r="G151" i="3"/>
  <c r="H151" i="3"/>
  <c r="I151" i="3"/>
  <c r="P151" i="3"/>
  <c r="Q151" i="3"/>
  <c r="R151" i="3"/>
  <c r="S151" i="3"/>
  <c r="T151" i="3"/>
  <c r="G152" i="3"/>
  <c r="H152" i="3"/>
  <c r="I152" i="3"/>
  <c r="P152" i="3"/>
  <c r="Q152" i="3"/>
  <c r="R152" i="3"/>
  <c r="S152" i="3"/>
  <c r="T152" i="3"/>
  <c r="G153" i="3"/>
  <c r="H153" i="3"/>
  <c r="I153" i="3"/>
  <c r="P153" i="3"/>
  <c r="Q153" i="3"/>
  <c r="R153" i="3"/>
  <c r="S153" i="3"/>
  <c r="T153" i="3"/>
  <c r="G154" i="3"/>
  <c r="H154" i="3"/>
  <c r="I154" i="3"/>
  <c r="P154" i="3"/>
  <c r="Q154" i="3"/>
  <c r="R154" i="3"/>
  <c r="S154" i="3"/>
  <c r="T154" i="3"/>
  <c r="G155" i="3"/>
  <c r="H155" i="3"/>
  <c r="I155" i="3"/>
  <c r="P155" i="3"/>
  <c r="Q155" i="3"/>
  <c r="R155" i="3"/>
  <c r="S155" i="3"/>
  <c r="T155" i="3"/>
  <c r="G156" i="3"/>
  <c r="H156" i="3"/>
  <c r="I156" i="3"/>
  <c r="P156" i="3"/>
  <c r="Q156" i="3"/>
  <c r="R156" i="3"/>
  <c r="S156" i="3"/>
  <c r="T156" i="3"/>
  <c r="D6" i="3" l="1"/>
  <c r="M153" i="3"/>
  <c r="M137" i="3"/>
  <c r="D34" i="16" s="1"/>
  <c r="V137" i="3"/>
  <c r="N6" i="16" s="1"/>
  <c r="V145" i="3"/>
  <c r="V151" i="3"/>
  <c r="M139" i="3"/>
  <c r="M147" i="3"/>
  <c r="V143" i="3"/>
  <c r="M145" i="3"/>
  <c r="V150" i="3"/>
  <c r="V153" i="3"/>
  <c r="M155" i="3"/>
  <c r="V155" i="3"/>
  <c r="V139" i="3"/>
  <c r="M151" i="3"/>
  <c r="M141" i="3"/>
  <c r="V147" i="3"/>
  <c r="V141" i="3"/>
  <c r="V149" i="3"/>
  <c r="M149" i="3"/>
  <c r="M143" i="3"/>
  <c r="M154" i="3"/>
  <c r="M138" i="3"/>
  <c r="D7" i="16" s="1"/>
  <c r="V146" i="3"/>
  <c r="V136" i="3"/>
  <c r="N33" i="16" s="1"/>
  <c r="V152" i="3"/>
  <c r="M156" i="3"/>
  <c r="V138" i="3"/>
  <c r="V154" i="3"/>
  <c r="V144" i="3"/>
  <c r="M140" i="3"/>
  <c r="V148" i="3"/>
  <c r="V140" i="3"/>
  <c r="M150" i="3"/>
  <c r="M142" i="3"/>
  <c r="V156" i="3"/>
  <c r="M146" i="3"/>
  <c r="M148" i="3"/>
  <c r="M152" i="3"/>
  <c r="M144" i="3"/>
  <c r="V142" i="3"/>
  <c r="M136" i="3"/>
  <c r="D27" i="16"/>
  <c r="D13" i="16"/>
  <c r="D20" i="16"/>
  <c r="N27" i="16"/>
  <c r="Q14" i="13"/>
  <c r="H14" i="13"/>
  <c r="P113" i="5"/>
  <c r="S113" i="5" s="1"/>
  <c r="P114" i="5"/>
  <c r="S114" i="5" s="1"/>
  <c r="P115" i="5"/>
  <c r="S115" i="5" s="1"/>
  <c r="P116" i="5"/>
  <c r="S116" i="5" s="1"/>
  <c r="P117" i="5"/>
  <c r="S117" i="5" s="1"/>
  <c r="P118" i="5"/>
  <c r="S118" i="5" s="1"/>
  <c r="P119" i="5"/>
  <c r="S119" i="5" s="1"/>
  <c r="P120" i="5"/>
  <c r="S120" i="5" s="1"/>
  <c r="P121" i="5"/>
  <c r="S121" i="5" s="1"/>
  <c r="P122" i="5"/>
  <c r="S122" i="5" s="1"/>
  <c r="P123" i="5"/>
  <c r="S123" i="5" s="1"/>
  <c r="P124" i="5"/>
  <c r="S124" i="5" s="1"/>
  <c r="P125" i="5"/>
  <c r="S125" i="5" s="1"/>
  <c r="P126" i="5"/>
  <c r="S126" i="5" s="1"/>
  <c r="P127" i="5"/>
  <c r="S127" i="5" s="1"/>
  <c r="P128" i="5"/>
  <c r="S128" i="5" s="1"/>
  <c r="P129" i="5"/>
  <c r="S129" i="5" s="1"/>
  <c r="P130" i="5"/>
  <c r="S130" i="5" s="1"/>
  <c r="P131" i="5"/>
  <c r="S131" i="5" s="1"/>
  <c r="P132" i="5"/>
  <c r="S132" i="5" s="1"/>
  <c r="F113" i="5"/>
  <c r="I113" i="5" s="1"/>
  <c r="F114" i="5"/>
  <c r="I114" i="5" s="1"/>
  <c r="F115" i="5"/>
  <c r="I115" i="5" s="1"/>
  <c r="F116" i="5"/>
  <c r="I116" i="5" s="1"/>
  <c r="F117" i="5"/>
  <c r="I117" i="5" s="1"/>
  <c r="F118" i="5"/>
  <c r="I118" i="5" s="1"/>
  <c r="F119" i="5"/>
  <c r="I119" i="5" s="1"/>
  <c r="F120" i="5"/>
  <c r="I120" i="5" s="1"/>
  <c r="F121" i="5"/>
  <c r="I121" i="5" s="1"/>
  <c r="F122" i="5"/>
  <c r="I122" i="5" s="1"/>
  <c r="F123" i="5"/>
  <c r="I123" i="5" s="1"/>
  <c r="F124" i="5"/>
  <c r="I124" i="5" s="1"/>
  <c r="F125" i="5"/>
  <c r="I125" i="5" s="1"/>
  <c r="F126" i="5"/>
  <c r="I126" i="5" s="1"/>
  <c r="F127" i="5"/>
  <c r="I127" i="5" s="1"/>
  <c r="F128" i="5"/>
  <c r="I128" i="5" s="1"/>
  <c r="F129" i="5"/>
  <c r="I129" i="5" s="1"/>
  <c r="F130" i="5"/>
  <c r="I130" i="5" s="1"/>
  <c r="F131" i="5"/>
  <c r="I131" i="5" s="1"/>
  <c r="F132" i="5"/>
  <c r="I132" i="5" s="1"/>
  <c r="P112" i="5"/>
  <c r="S112" i="5" s="1"/>
  <c r="F112" i="5"/>
  <c r="I112" i="5" s="1"/>
  <c r="P86" i="5"/>
  <c r="S86" i="5" s="1"/>
  <c r="P87" i="5"/>
  <c r="S87" i="5" s="1"/>
  <c r="P88" i="5"/>
  <c r="S88" i="5" s="1"/>
  <c r="P89" i="5"/>
  <c r="S89" i="5" s="1"/>
  <c r="P90" i="5"/>
  <c r="S90" i="5" s="1"/>
  <c r="P91" i="5"/>
  <c r="S91" i="5" s="1"/>
  <c r="P92" i="5"/>
  <c r="S92" i="5" s="1"/>
  <c r="P93" i="5"/>
  <c r="S93" i="5" s="1"/>
  <c r="P94" i="5"/>
  <c r="S94" i="5" s="1"/>
  <c r="P95" i="5"/>
  <c r="S95" i="5" s="1"/>
  <c r="P96" i="5"/>
  <c r="S96" i="5" s="1"/>
  <c r="P97" i="5"/>
  <c r="S97" i="5" s="1"/>
  <c r="P98" i="5"/>
  <c r="S98" i="5" s="1"/>
  <c r="P99" i="5"/>
  <c r="S99" i="5" s="1"/>
  <c r="P100" i="5"/>
  <c r="S100" i="5" s="1"/>
  <c r="P101" i="5"/>
  <c r="S101" i="5" s="1"/>
  <c r="P102" i="5"/>
  <c r="S102" i="5" s="1"/>
  <c r="P103" i="5"/>
  <c r="S103" i="5" s="1"/>
  <c r="P104" i="5"/>
  <c r="S104" i="5" s="1"/>
  <c r="P105" i="5"/>
  <c r="S105" i="5" s="1"/>
  <c r="P85" i="5"/>
  <c r="S85" i="5" s="1"/>
  <c r="F86" i="5"/>
  <c r="I86" i="5" s="1"/>
  <c r="F87" i="5"/>
  <c r="I87" i="5" s="1"/>
  <c r="F88" i="5"/>
  <c r="I88" i="5" s="1"/>
  <c r="F89" i="5"/>
  <c r="I89" i="5" s="1"/>
  <c r="F90" i="5"/>
  <c r="I90" i="5" s="1"/>
  <c r="F91" i="5"/>
  <c r="I91" i="5" s="1"/>
  <c r="F92" i="5"/>
  <c r="I92" i="5" s="1"/>
  <c r="F93" i="5"/>
  <c r="I93" i="5" s="1"/>
  <c r="F94" i="5"/>
  <c r="I94" i="5" s="1"/>
  <c r="F95" i="5"/>
  <c r="I95" i="5" s="1"/>
  <c r="F96" i="5"/>
  <c r="I96" i="5" s="1"/>
  <c r="F97" i="5"/>
  <c r="I97" i="5" s="1"/>
  <c r="F98" i="5"/>
  <c r="I98" i="5" s="1"/>
  <c r="F99" i="5"/>
  <c r="I99" i="5" s="1"/>
  <c r="F100" i="5"/>
  <c r="I100" i="5" s="1"/>
  <c r="F101" i="5"/>
  <c r="I101" i="5" s="1"/>
  <c r="F102" i="5"/>
  <c r="I102" i="5" s="1"/>
  <c r="F103" i="5"/>
  <c r="I103" i="5" s="1"/>
  <c r="F104" i="5"/>
  <c r="I104" i="5" s="1"/>
  <c r="F105" i="5"/>
  <c r="I105" i="5" s="1"/>
  <c r="F85" i="5"/>
  <c r="I85" i="5" s="1"/>
  <c r="P59" i="5"/>
  <c r="S59" i="5" s="1"/>
  <c r="P60" i="5"/>
  <c r="S60" i="5" s="1"/>
  <c r="P61" i="5"/>
  <c r="S61" i="5" s="1"/>
  <c r="P62" i="5"/>
  <c r="S62" i="5" s="1"/>
  <c r="P63" i="5"/>
  <c r="S63" i="5" s="1"/>
  <c r="P64" i="5"/>
  <c r="S64" i="5" s="1"/>
  <c r="P65" i="5"/>
  <c r="S65" i="5" s="1"/>
  <c r="P66" i="5"/>
  <c r="S66" i="5" s="1"/>
  <c r="P67" i="5"/>
  <c r="S67" i="5" s="1"/>
  <c r="P68" i="5"/>
  <c r="S68" i="5" s="1"/>
  <c r="P69" i="5"/>
  <c r="S69" i="5" s="1"/>
  <c r="P70" i="5"/>
  <c r="S70" i="5" s="1"/>
  <c r="P71" i="5"/>
  <c r="S71" i="5" s="1"/>
  <c r="P72" i="5"/>
  <c r="S72" i="5" s="1"/>
  <c r="P73" i="5"/>
  <c r="S73" i="5" s="1"/>
  <c r="P74" i="5"/>
  <c r="S74" i="5" s="1"/>
  <c r="P75" i="5"/>
  <c r="S75" i="5" s="1"/>
  <c r="P76" i="5"/>
  <c r="S76" i="5" s="1"/>
  <c r="P77" i="5"/>
  <c r="S77" i="5" s="1"/>
  <c r="P78" i="5"/>
  <c r="S78" i="5" s="1"/>
  <c r="P58" i="5"/>
  <c r="S58" i="5" s="1"/>
  <c r="F72" i="5"/>
  <c r="I72" i="5" s="1"/>
  <c r="F73" i="5"/>
  <c r="I73" i="5" s="1"/>
  <c r="F74" i="5"/>
  <c r="I74" i="5" s="1"/>
  <c r="F75" i="5"/>
  <c r="I75" i="5" s="1"/>
  <c r="F76" i="5"/>
  <c r="I76" i="5" s="1"/>
  <c r="F77" i="5"/>
  <c r="I77" i="5" s="1"/>
  <c r="F78" i="5"/>
  <c r="I7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1" i="5"/>
  <c r="I71" i="5" s="1"/>
  <c r="F58" i="5"/>
  <c r="I58" i="5" s="1"/>
  <c r="P32" i="5"/>
  <c r="S32" i="5" s="1"/>
  <c r="P33" i="5"/>
  <c r="S33" i="5" s="1"/>
  <c r="P34" i="5"/>
  <c r="S34" i="5" s="1"/>
  <c r="P35" i="5"/>
  <c r="S35" i="5" s="1"/>
  <c r="P36" i="5"/>
  <c r="S36" i="5" s="1"/>
  <c r="P37" i="5"/>
  <c r="S37" i="5" s="1"/>
  <c r="P38" i="5"/>
  <c r="S38" i="5" s="1"/>
  <c r="P39" i="5"/>
  <c r="S39" i="5" s="1"/>
  <c r="P40" i="5"/>
  <c r="S40" i="5" s="1"/>
  <c r="P41" i="5"/>
  <c r="S41" i="5" s="1"/>
  <c r="P42" i="5"/>
  <c r="S42" i="5" s="1"/>
  <c r="P43" i="5"/>
  <c r="S43" i="5" s="1"/>
  <c r="P44" i="5"/>
  <c r="S44" i="5" s="1"/>
  <c r="P45" i="5"/>
  <c r="S45" i="5" s="1"/>
  <c r="P46" i="5"/>
  <c r="S46" i="5" s="1"/>
  <c r="P47" i="5"/>
  <c r="S47" i="5" s="1"/>
  <c r="P48" i="5"/>
  <c r="S48" i="5" s="1"/>
  <c r="P49" i="5"/>
  <c r="S49" i="5" s="1"/>
  <c r="P50" i="5"/>
  <c r="S50" i="5" s="1"/>
  <c r="P51" i="5"/>
  <c r="S51" i="5" s="1"/>
  <c r="P31" i="5"/>
  <c r="S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31" i="5"/>
  <c r="I31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I25" i="5" s="1"/>
  <c r="P6" i="5"/>
  <c r="S6" i="5" s="1"/>
  <c r="P7" i="5"/>
  <c r="S7" i="5" s="1"/>
  <c r="P8" i="5"/>
  <c r="S8" i="5" s="1"/>
  <c r="P9" i="5"/>
  <c r="S9" i="5" s="1"/>
  <c r="P10" i="5"/>
  <c r="S10" i="5" s="1"/>
  <c r="P11" i="5"/>
  <c r="S11" i="5" s="1"/>
  <c r="P12" i="5"/>
  <c r="S12" i="5" s="1"/>
  <c r="P13" i="5"/>
  <c r="S13" i="5" s="1"/>
  <c r="P14" i="5"/>
  <c r="S14" i="5" s="1"/>
  <c r="P15" i="5"/>
  <c r="S15" i="5" s="1"/>
  <c r="P16" i="5"/>
  <c r="S16" i="5" s="1"/>
  <c r="P17" i="5"/>
  <c r="S17" i="5" s="1"/>
  <c r="P18" i="5"/>
  <c r="S18" i="5" s="1"/>
  <c r="P19" i="5"/>
  <c r="S19" i="5" s="1"/>
  <c r="P20" i="5"/>
  <c r="S20" i="5" s="1"/>
  <c r="P21" i="5"/>
  <c r="S21" i="5" s="1"/>
  <c r="P22" i="5"/>
  <c r="S22" i="5" s="1"/>
  <c r="P23" i="5"/>
  <c r="S23" i="5" s="1"/>
  <c r="P24" i="5"/>
  <c r="S24" i="5" s="1"/>
  <c r="P25" i="5"/>
  <c r="S25" i="5" s="1"/>
  <c r="P5" i="5"/>
  <c r="S5" i="5" s="1"/>
  <c r="P111" i="3"/>
  <c r="Q111" i="3"/>
  <c r="R111" i="3"/>
  <c r="S111" i="3"/>
  <c r="T111" i="3"/>
  <c r="P112" i="3"/>
  <c r="Q112" i="3"/>
  <c r="R112" i="3"/>
  <c r="S112" i="3"/>
  <c r="T112" i="3"/>
  <c r="P113" i="3"/>
  <c r="Q113" i="3"/>
  <c r="R113" i="3"/>
  <c r="S113" i="3"/>
  <c r="T113" i="3"/>
  <c r="P114" i="3"/>
  <c r="Q114" i="3"/>
  <c r="R114" i="3"/>
  <c r="S114" i="3"/>
  <c r="T114" i="3"/>
  <c r="P115" i="3"/>
  <c r="Q115" i="3"/>
  <c r="R115" i="3"/>
  <c r="S115" i="3"/>
  <c r="T115" i="3"/>
  <c r="P116" i="3"/>
  <c r="Q116" i="3"/>
  <c r="R116" i="3"/>
  <c r="S116" i="3"/>
  <c r="T116" i="3"/>
  <c r="P117" i="3"/>
  <c r="Q117" i="3"/>
  <c r="R117" i="3"/>
  <c r="S117" i="3"/>
  <c r="T117" i="3"/>
  <c r="P118" i="3"/>
  <c r="Q118" i="3"/>
  <c r="R118" i="3"/>
  <c r="S118" i="3"/>
  <c r="T118" i="3"/>
  <c r="P119" i="3"/>
  <c r="Q119" i="3"/>
  <c r="R119" i="3"/>
  <c r="S119" i="3"/>
  <c r="T119" i="3"/>
  <c r="P120" i="3"/>
  <c r="Q120" i="3"/>
  <c r="R120" i="3"/>
  <c r="S120" i="3"/>
  <c r="T120" i="3"/>
  <c r="P121" i="3"/>
  <c r="Q121" i="3"/>
  <c r="R121" i="3"/>
  <c r="S121" i="3"/>
  <c r="T121" i="3"/>
  <c r="P122" i="3"/>
  <c r="Q122" i="3"/>
  <c r="R122" i="3"/>
  <c r="S122" i="3"/>
  <c r="T122" i="3"/>
  <c r="P123" i="3"/>
  <c r="Q123" i="3"/>
  <c r="R123" i="3"/>
  <c r="S123" i="3"/>
  <c r="T123" i="3"/>
  <c r="P124" i="3"/>
  <c r="Q124" i="3"/>
  <c r="R124" i="3"/>
  <c r="S124" i="3"/>
  <c r="T124" i="3"/>
  <c r="P125" i="3"/>
  <c r="Q125" i="3"/>
  <c r="R125" i="3"/>
  <c r="S125" i="3"/>
  <c r="T125" i="3"/>
  <c r="P126" i="3"/>
  <c r="Q126" i="3"/>
  <c r="R126" i="3"/>
  <c r="S126" i="3"/>
  <c r="T126" i="3"/>
  <c r="P127" i="3"/>
  <c r="Q127" i="3"/>
  <c r="R127" i="3"/>
  <c r="S127" i="3"/>
  <c r="T127" i="3"/>
  <c r="P128" i="3"/>
  <c r="Q128" i="3"/>
  <c r="R128" i="3"/>
  <c r="S128" i="3"/>
  <c r="T128" i="3"/>
  <c r="P129" i="3"/>
  <c r="Q129" i="3"/>
  <c r="R129" i="3"/>
  <c r="S129" i="3"/>
  <c r="T129" i="3"/>
  <c r="P130" i="3"/>
  <c r="Q130" i="3"/>
  <c r="R130" i="3"/>
  <c r="S130" i="3"/>
  <c r="T130" i="3"/>
  <c r="Q110" i="3"/>
  <c r="R110" i="3"/>
  <c r="S110" i="3"/>
  <c r="T110" i="3"/>
  <c r="P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H110" i="3"/>
  <c r="I110" i="3"/>
  <c r="G110" i="3"/>
  <c r="P85" i="3"/>
  <c r="Q85" i="3"/>
  <c r="R85" i="3"/>
  <c r="S85" i="3"/>
  <c r="T85" i="3"/>
  <c r="P86" i="3"/>
  <c r="Q86" i="3"/>
  <c r="R86" i="3"/>
  <c r="S86" i="3"/>
  <c r="T86" i="3"/>
  <c r="P87" i="3"/>
  <c r="Q87" i="3"/>
  <c r="R87" i="3"/>
  <c r="S87" i="3"/>
  <c r="T87" i="3"/>
  <c r="P88" i="3"/>
  <c r="Q88" i="3"/>
  <c r="R88" i="3"/>
  <c r="S88" i="3"/>
  <c r="T88" i="3"/>
  <c r="P89" i="3"/>
  <c r="Q89" i="3"/>
  <c r="R89" i="3"/>
  <c r="S89" i="3"/>
  <c r="T89" i="3"/>
  <c r="P90" i="3"/>
  <c r="Q90" i="3"/>
  <c r="R90" i="3"/>
  <c r="S90" i="3"/>
  <c r="T90" i="3"/>
  <c r="P91" i="3"/>
  <c r="Q91" i="3"/>
  <c r="R91" i="3"/>
  <c r="S91" i="3"/>
  <c r="T91" i="3"/>
  <c r="P92" i="3"/>
  <c r="Q92" i="3"/>
  <c r="R92" i="3"/>
  <c r="S92" i="3"/>
  <c r="T92" i="3"/>
  <c r="P93" i="3"/>
  <c r="Q93" i="3"/>
  <c r="R93" i="3"/>
  <c r="S93" i="3"/>
  <c r="T93" i="3"/>
  <c r="P94" i="3"/>
  <c r="Q94" i="3"/>
  <c r="R94" i="3"/>
  <c r="S94" i="3"/>
  <c r="T94" i="3"/>
  <c r="P95" i="3"/>
  <c r="Q95" i="3"/>
  <c r="R95" i="3"/>
  <c r="S95" i="3"/>
  <c r="T95" i="3"/>
  <c r="P96" i="3"/>
  <c r="Q96" i="3"/>
  <c r="R96" i="3"/>
  <c r="S96" i="3"/>
  <c r="T96" i="3"/>
  <c r="P97" i="3"/>
  <c r="Q97" i="3"/>
  <c r="R97" i="3"/>
  <c r="S97" i="3"/>
  <c r="T97" i="3"/>
  <c r="P98" i="3"/>
  <c r="Q98" i="3"/>
  <c r="R98" i="3"/>
  <c r="S98" i="3"/>
  <c r="T98" i="3"/>
  <c r="P99" i="3"/>
  <c r="Q99" i="3"/>
  <c r="R99" i="3"/>
  <c r="S99" i="3"/>
  <c r="T99" i="3"/>
  <c r="P100" i="3"/>
  <c r="Q100" i="3"/>
  <c r="R100" i="3"/>
  <c r="S100" i="3"/>
  <c r="T100" i="3"/>
  <c r="P101" i="3"/>
  <c r="Q101" i="3"/>
  <c r="R101" i="3"/>
  <c r="S101" i="3"/>
  <c r="T101" i="3"/>
  <c r="P102" i="3"/>
  <c r="Q102" i="3"/>
  <c r="R102" i="3"/>
  <c r="S102" i="3"/>
  <c r="T102" i="3"/>
  <c r="P103" i="3"/>
  <c r="Q103" i="3"/>
  <c r="R103" i="3"/>
  <c r="S103" i="3"/>
  <c r="T103" i="3"/>
  <c r="P104" i="3"/>
  <c r="Q104" i="3"/>
  <c r="R104" i="3"/>
  <c r="S104" i="3"/>
  <c r="T104" i="3"/>
  <c r="Q84" i="3"/>
  <c r="R84" i="3"/>
  <c r="S84" i="3"/>
  <c r="T84" i="3"/>
  <c r="P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H84" i="3"/>
  <c r="I84" i="3"/>
  <c r="G84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T64" i="3"/>
  <c r="P65" i="3"/>
  <c r="Q65" i="3"/>
  <c r="R65" i="3"/>
  <c r="S65" i="3"/>
  <c r="T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T68" i="3"/>
  <c r="P69" i="3"/>
  <c r="Q69" i="3"/>
  <c r="R69" i="3"/>
  <c r="S69" i="3"/>
  <c r="T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T72" i="3"/>
  <c r="P73" i="3"/>
  <c r="Q73" i="3"/>
  <c r="R73" i="3"/>
  <c r="S73" i="3"/>
  <c r="T73" i="3"/>
  <c r="P74" i="3"/>
  <c r="Q74" i="3"/>
  <c r="R74" i="3"/>
  <c r="S74" i="3"/>
  <c r="T74" i="3"/>
  <c r="P75" i="3"/>
  <c r="Q75" i="3"/>
  <c r="R75" i="3"/>
  <c r="S75" i="3"/>
  <c r="T75" i="3"/>
  <c r="P76" i="3"/>
  <c r="Q76" i="3"/>
  <c r="R76" i="3"/>
  <c r="S76" i="3"/>
  <c r="T76" i="3"/>
  <c r="P77" i="3"/>
  <c r="Q77" i="3"/>
  <c r="R77" i="3"/>
  <c r="S77" i="3"/>
  <c r="T77" i="3"/>
  <c r="P78" i="3"/>
  <c r="Q78" i="3"/>
  <c r="R78" i="3"/>
  <c r="S78" i="3"/>
  <c r="T78" i="3"/>
  <c r="Q58" i="3"/>
  <c r="R58" i="3"/>
  <c r="S58" i="3"/>
  <c r="T58" i="3"/>
  <c r="P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H58" i="3"/>
  <c r="I58" i="3"/>
  <c r="G58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R39" i="3"/>
  <c r="S39" i="3"/>
  <c r="T39" i="3"/>
  <c r="P40" i="3"/>
  <c r="Q40" i="3"/>
  <c r="R40" i="3"/>
  <c r="S40" i="3"/>
  <c r="T40" i="3"/>
  <c r="P41" i="3"/>
  <c r="Q41" i="3"/>
  <c r="R41" i="3"/>
  <c r="S41" i="3"/>
  <c r="T41" i="3"/>
  <c r="P42" i="3"/>
  <c r="Q42" i="3"/>
  <c r="R42" i="3"/>
  <c r="S42" i="3"/>
  <c r="T42" i="3"/>
  <c r="P43" i="3"/>
  <c r="Q43" i="3"/>
  <c r="R43" i="3"/>
  <c r="S43" i="3"/>
  <c r="T43" i="3"/>
  <c r="P44" i="3"/>
  <c r="Q44" i="3"/>
  <c r="R44" i="3"/>
  <c r="S44" i="3"/>
  <c r="T44" i="3"/>
  <c r="P45" i="3"/>
  <c r="Q45" i="3"/>
  <c r="R45" i="3"/>
  <c r="S45" i="3"/>
  <c r="T45" i="3"/>
  <c r="P46" i="3"/>
  <c r="Q46" i="3"/>
  <c r="R46" i="3"/>
  <c r="S46" i="3"/>
  <c r="T46" i="3"/>
  <c r="P47" i="3"/>
  <c r="Q47" i="3"/>
  <c r="R47" i="3"/>
  <c r="S47" i="3"/>
  <c r="T47" i="3"/>
  <c r="P48" i="3"/>
  <c r="Q48" i="3"/>
  <c r="R48" i="3"/>
  <c r="S48" i="3"/>
  <c r="T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T51" i="3"/>
  <c r="P52" i="3"/>
  <c r="Q52" i="3"/>
  <c r="R52" i="3"/>
  <c r="S52" i="3"/>
  <c r="T52" i="3"/>
  <c r="Q32" i="3"/>
  <c r="R32" i="3"/>
  <c r="S32" i="3"/>
  <c r="T32" i="3"/>
  <c r="P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H32" i="3"/>
  <c r="I32" i="3"/>
  <c r="G32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P12" i="3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R24" i="3"/>
  <c r="S24" i="3"/>
  <c r="T24" i="3"/>
  <c r="P25" i="3"/>
  <c r="Q25" i="3"/>
  <c r="R25" i="3"/>
  <c r="S25" i="3"/>
  <c r="T25" i="3"/>
  <c r="P26" i="3"/>
  <c r="Q26" i="3"/>
  <c r="R26" i="3"/>
  <c r="S26" i="3"/>
  <c r="T26" i="3"/>
  <c r="Q6" i="3"/>
  <c r="R6" i="3"/>
  <c r="S6" i="3"/>
  <c r="T6" i="3"/>
  <c r="P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H6" i="3"/>
  <c r="I6" i="3"/>
  <c r="G6" i="3"/>
  <c r="D33" i="16" l="1"/>
  <c r="N26" i="16"/>
  <c r="V76" i="3"/>
  <c r="J75" i="4" s="1"/>
  <c r="M75" i="4" s="1"/>
  <c r="D6" i="16"/>
  <c r="N34" i="16"/>
  <c r="N20" i="16"/>
  <c r="N13" i="16"/>
  <c r="N5" i="16"/>
  <c r="D28" i="16"/>
  <c r="D35" i="16"/>
  <c r="N12" i="16"/>
  <c r="D14" i="16"/>
  <c r="N14" i="16"/>
  <c r="D12" i="16"/>
  <c r="D21" i="16"/>
  <c r="N21" i="16"/>
  <c r="D26" i="16"/>
  <c r="N35" i="16"/>
  <c r="N28" i="16"/>
  <c r="D5" i="16"/>
  <c r="N19" i="16"/>
  <c r="N7" i="16"/>
  <c r="D19" i="16"/>
  <c r="V85" i="3"/>
  <c r="J84" i="4" s="1"/>
  <c r="M84" i="4" s="1"/>
  <c r="M110" i="3"/>
  <c r="C110" i="4" s="1"/>
  <c r="F110" i="4" s="1"/>
  <c r="V111" i="3"/>
  <c r="J111" i="4" s="1"/>
  <c r="M111" i="4" s="1"/>
  <c r="N18" i="5"/>
  <c r="N20" i="5"/>
  <c r="V72" i="3"/>
  <c r="J71" i="4" s="1"/>
  <c r="M71" i="4" s="1"/>
  <c r="V68" i="3"/>
  <c r="J67" i="4" s="1"/>
  <c r="M67" i="4" s="1"/>
  <c r="V64" i="3"/>
  <c r="J63" i="4" s="1"/>
  <c r="V60" i="3"/>
  <c r="J59" i="4" s="1"/>
  <c r="M59" i="4" s="1"/>
  <c r="N16" i="5"/>
  <c r="N24" i="5"/>
  <c r="N23" i="5"/>
  <c r="N19" i="5"/>
  <c r="N15" i="5"/>
  <c r="N14" i="5"/>
  <c r="N5" i="5"/>
  <c r="N22" i="5"/>
  <c r="N8" i="5"/>
  <c r="N12" i="5"/>
  <c r="V32" i="3"/>
  <c r="J31" i="4" s="1"/>
  <c r="V84" i="3"/>
  <c r="J83" i="4" s="1"/>
  <c r="V71" i="3"/>
  <c r="J70" i="4" s="1"/>
  <c r="V67" i="3"/>
  <c r="J66" i="4" s="1"/>
  <c r="V63" i="3"/>
  <c r="J62" i="4" s="1"/>
  <c r="M62" i="4" s="1"/>
  <c r="V75" i="3"/>
  <c r="J74" i="4" s="1"/>
  <c r="M74" i="4" s="1"/>
  <c r="V59" i="3"/>
  <c r="J58" i="4" s="1"/>
  <c r="M58" i="4" s="1"/>
  <c r="M24" i="3"/>
  <c r="C23" i="4" s="1"/>
  <c r="F23" i="4" s="1"/>
  <c r="M12" i="3"/>
  <c r="C11" i="4" s="1"/>
  <c r="M8" i="3"/>
  <c r="C7" i="4" s="1"/>
  <c r="V25" i="3"/>
  <c r="V13" i="3"/>
  <c r="V9" i="3"/>
  <c r="M48" i="3"/>
  <c r="C47" i="4" s="1"/>
  <c r="F47" i="4" s="1"/>
  <c r="M40" i="3"/>
  <c r="C39" i="4" s="1"/>
  <c r="V45" i="3"/>
  <c r="J44" i="4" s="1"/>
  <c r="M44" i="4" s="1"/>
  <c r="V41" i="3"/>
  <c r="J40" i="4" s="1"/>
  <c r="M64" i="3"/>
  <c r="C63" i="4" s="1"/>
  <c r="M60" i="3"/>
  <c r="C59" i="4" s="1"/>
  <c r="M92" i="3"/>
  <c r="C91" i="4" s="1"/>
  <c r="F91" i="4" s="1"/>
  <c r="V101" i="3"/>
  <c r="J100" i="4" s="1"/>
  <c r="M100" i="4" s="1"/>
  <c r="V97" i="3"/>
  <c r="J96" i="4" s="1"/>
  <c r="M128" i="3"/>
  <c r="C128" i="4" s="1"/>
  <c r="F128" i="4" s="1"/>
  <c r="M112" i="3"/>
  <c r="C112" i="4" s="1"/>
  <c r="F112" i="4" s="1"/>
  <c r="V117" i="3"/>
  <c r="J117" i="4" s="1"/>
  <c r="V33" i="3"/>
  <c r="J32" i="4" s="1"/>
  <c r="M32" i="4" s="1"/>
  <c r="M20" i="3"/>
  <c r="C19" i="4" s="1"/>
  <c r="M88" i="3"/>
  <c r="C87" i="4" s="1"/>
  <c r="F87" i="4" s="1"/>
  <c r="M76" i="3"/>
  <c r="C75" i="4" s="1"/>
  <c r="V49" i="3"/>
  <c r="J48" i="4" s="1"/>
  <c r="M48" i="4" s="1"/>
  <c r="M96" i="3"/>
  <c r="C95" i="4" s="1"/>
  <c r="M72" i="3"/>
  <c r="C71" i="4" s="1"/>
  <c r="F71" i="4" s="1"/>
  <c r="M52" i="3"/>
  <c r="C51" i="4" s="1"/>
  <c r="F51" i="4" s="1"/>
  <c r="M100" i="3"/>
  <c r="C99" i="4" s="1"/>
  <c r="M16" i="3"/>
  <c r="C15" i="4" s="1"/>
  <c r="F15" i="4" s="1"/>
  <c r="V17" i="3"/>
  <c r="M68" i="3"/>
  <c r="C67" i="4" s="1"/>
  <c r="F67" i="4" s="1"/>
  <c r="M104" i="3"/>
  <c r="C103" i="4" s="1"/>
  <c r="F103" i="4" s="1"/>
  <c r="M23" i="3"/>
  <c r="C22" i="4" s="1"/>
  <c r="F22" i="4" s="1"/>
  <c r="M19" i="3"/>
  <c r="C18" i="4" s="1"/>
  <c r="F18" i="4" s="1"/>
  <c r="M15" i="3"/>
  <c r="C14" i="4" s="1"/>
  <c r="F14" i="4" s="1"/>
  <c r="M11" i="3"/>
  <c r="C10" i="4" s="1"/>
  <c r="F10" i="4" s="1"/>
  <c r="M7" i="3"/>
  <c r="C6" i="4" s="1"/>
  <c r="F6" i="4" s="1"/>
  <c r="V24" i="3"/>
  <c r="V20" i="3"/>
  <c r="V16" i="3"/>
  <c r="V12" i="3"/>
  <c r="V8" i="3"/>
  <c r="M51" i="3"/>
  <c r="C50" i="4" s="1"/>
  <c r="F50" i="4" s="1"/>
  <c r="M47" i="3"/>
  <c r="C46" i="4" s="1"/>
  <c r="F46" i="4" s="1"/>
  <c r="M43" i="3"/>
  <c r="C42" i="4" s="1"/>
  <c r="F42" i="4" s="1"/>
  <c r="M39" i="3"/>
  <c r="C38" i="4" s="1"/>
  <c r="F38" i="4" s="1"/>
  <c r="M35" i="3"/>
  <c r="C34" i="4" s="1"/>
  <c r="F34" i="4" s="1"/>
  <c r="V52" i="3"/>
  <c r="J51" i="4" s="1"/>
  <c r="M51" i="4" s="1"/>
  <c r="V48" i="3"/>
  <c r="J47" i="4" s="1"/>
  <c r="M47" i="4" s="1"/>
  <c r="V44" i="3"/>
  <c r="J43" i="4" s="1"/>
  <c r="M43" i="4" s="1"/>
  <c r="V40" i="3"/>
  <c r="J39" i="4" s="1"/>
  <c r="M39" i="4" s="1"/>
  <c r="V36" i="3"/>
  <c r="J35" i="4" s="1"/>
  <c r="M35" i="4" s="1"/>
  <c r="M58" i="3"/>
  <c r="M75" i="3"/>
  <c r="C74" i="4" s="1"/>
  <c r="F74" i="4" s="1"/>
  <c r="M71" i="3"/>
  <c r="C70" i="4" s="1"/>
  <c r="F70" i="4" s="1"/>
  <c r="M67" i="3"/>
  <c r="C66" i="4" s="1"/>
  <c r="F66" i="4" s="1"/>
  <c r="M63" i="3"/>
  <c r="C62" i="4" s="1"/>
  <c r="F62" i="4" s="1"/>
  <c r="M59" i="3"/>
  <c r="C58" i="4" s="1"/>
  <c r="F58" i="4" s="1"/>
  <c r="V21" i="3"/>
  <c r="M44" i="3"/>
  <c r="C43" i="4" s="1"/>
  <c r="F43" i="4" s="1"/>
  <c r="M36" i="3"/>
  <c r="C35" i="4" s="1"/>
  <c r="V37" i="3"/>
  <c r="J36" i="4" s="1"/>
  <c r="M36" i="4" s="1"/>
  <c r="M6" i="3"/>
  <c r="C5" i="4" s="1"/>
  <c r="M26" i="3"/>
  <c r="C25" i="4" s="1"/>
  <c r="M22" i="3"/>
  <c r="C21" i="4" s="1"/>
  <c r="F21" i="4" s="1"/>
  <c r="M18" i="3"/>
  <c r="C17" i="4" s="1"/>
  <c r="F17" i="4" s="1"/>
  <c r="M14" i="3"/>
  <c r="C13" i="4" s="1"/>
  <c r="F13" i="4" s="1"/>
  <c r="M10" i="3"/>
  <c r="C9" i="4" s="1"/>
  <c r="F9" i="4" s="1"/>
  <c r="V6" i="3"/>
  <c r="V23" i="3"/>
  <c r="V19" i="3"/>
  <c r="V15" i="3"/>
  <c r="V11" i="3"/>
  <c r="V7" i="3"/>
  <c r="M50" i="3"/>
  <c r="C49" i="4" s="1"/>
  <c r="F49" i="4" s="1"/>
  <c r="M46" i="3"/>
  <c r="C45" i="4" s="1"/>
  <c r="F45" i="4" s="1"/>
  <c r="M42" i="3"/>
  <c r="C41" i="4" s="1"/>
  <c r="F41" i="4" s="1"/>
  <c r="M38" i="3"/>
  <c r="C37" i="4" s="1"/>
  <c r="F37" i="4" s="1"/>
  <c r="M34" i="3"/>
  <c r="C33" i="4" s="1"/>
  <c r="F33" i="4" s="1"/>
  <c r="V51" i="3"/>
  <c r="J50" i="4" s="1"/>
  <c r="M50" i="4" s="1"/>
  <c r="V47" i="3"/>
  <c r="J46" i="4" s="1"/>
  <c r="M46" i="4" s="1"/>
  <c r="V43" i="3"/>
  <c r="J42" i="4" s="1"/>
  <c r="M42" i="4" s="1"/>
  <c r="V39" i="3"/>
  <c r="J38" i="4" s="1"/>
  <c r="M38" i="4" s="1"/>
  <c r="V35" i="3"/>
  <c r="J34" i="4" s="1"/>
  <c r="M34" i="4" s="1"/>
  <c r="M78" i="3"/>
  <c r="C77" i="4" s="1"/>
  <c r="M74" i="3"/>
  <c r="C73" i="4" s="1"/>
  <c r="M70" i="3"/>
  <c r="C69" i="4" s="1"/>
  <c r="F69" i="4" s="1"/>
  <c r="M66" i="3"/>
  <c r="C65" i="4" s="1"/>
  <c r="M62" i="3"/>
  <c r="C61" i="4" s="1"/>
  <c r="F61" i="4" s="1"/>
  <c r="V58" i="3"/>
  <c r="J57" i="4" s="1"/>
  <c r="M57" i="4" s="1"/>
  <c r="M102" i="3"/>
  <c r="C101" i="4" s="1"/>
  <c r="F101" i="4" s="1"/>
  <c r="M98" i="3"/>
  <c r="C97" i="4" s="1"/>
  <c r="F97" i="4" s="1"/>
  <c r="M94" i="3"/>
  <c r="C93" i="4" s="1"/>
  <c r="F93" i="4" s="1"/>
  <c r="M90" i="3"/>
  <c r="C89" i="4" s="1"/>
  <c r="F89" i="4" s="1"/>
  <c r="M86" i="3"/>
  <c r="C85" i="4" s="1"/>
  <c r="F85" i="4" s="1"/>
  <c r="V103" i="3"/>
  <c r="J102" i="4" s="1"/>
  <c r="M102" i="4" s="1"/>
  <c r="M25" i="3"/>
  <c r="C24" i="4" s="1"/>
  <c r="F24" i="4" s="1"/>
  <c r="M21" i="3"/>
  <c r="C20" i="4" s="1"/>
  <c r="F20" i="4" s="1"/>
  <c r="M17" i="3"/>
  <c r="C16" i="4" s="1"/>
  <c r="F16" i="4" s="1"/>
  <c r="M13" i="3"/>
  <c r="C12" i="4" s="1"/>
  <c r="F12" i="4" s="1"/>
  <c r="M9" i="3"/>
  <c r="C8" i="4" s="1"/>
  <c r="F8" i="4" s="1"/>
  <c r="V26" i="3"/>
  <c r="V22" i="3"/>
  <c r="V18" i="3"/>
  <c r="V14" i="3"/>
  <c r="V10" i="3"/>
  <c r="M32" i="3"/>
  <c r="C31" i="4" s="1"/>
  <c r="F31" i="4" s="1"/>
  <c r="M49" i="3"/>
  <c r="C48" i="4" s="1"/>
  <c r="F48" i="4" s="1"/>
  <c r="M45" i="3"/>
  <c r="C44" i="4" s="1"/>
  <c r="F44" i="4" s="1"/>
  <c r="M41" i="3"/>
  <c r="C40" i="4" s="1"/>
  <c r="F40" i="4" s="1"/>
  <c r="M37" i="3"/>
  <c r="C36" i="4" s="1"/>
  <c r="F36" i="4" s="1"/>
  <c r="M33" i="3"/>
  <c r="C32" i="4" s="1"/>
  <c r="F32" i="4" s="1"/>
  <c r="V50" i="3"/>
  <c r="J49" i="4" s="1"/>
  <c r="M49" i="4" s="1"/>
  <c r="V46" i="3"/>
  <c r="J45" i="4" s="1"/>
  <c r="M45" i="4" s="1"/>
  <c r="V42" i="3"/>
  <c r="J41" i="4" s="1"/>
  <c r="M41" i="4" s="1"/>
  <c r="V38" i="3"/>
  <c r="J37" i="4" s="1"/>
  <c r="M37" i="4" s="1"/>
  <c r="V34" i="3"/>
  <c r="J33" i="4" s="1"/>
  <c r="M33" i="4" s="1"/>
  <c r="M77" i="3"/>
  <c r="C76" i="4" s="1"/>
  <c r="F76" i="4" s="1"/>
  <c r="M73" i="3"/>
  <c r="C72" i="4" s="1"/>
  <c r="F72" i="4" s="1"/>
  <c r="M69" i="3"/>
  <c r="C68" i="4" s="1"/>
  <c r="F68" i="4" s="1"/>
  <c r="M65" i="3"/>
  <c r="C64" i="4" s="1"/>
  <c r="F64" i="4" s="1"/>
  <c r="M61" i="3"/>
  <c r="C60" i="4" s="1"/>
  <c r="F60" i="4" s="1"/>
  <c r="V78" i="3"/>
  <c r="J77" i="4" s="1"/>
  <c r="M77" i="4" s="1"/>
  <c r="V77" i="3"/>
  <c r="J76" i="4" s="1"/>
  <c r="M76" i="4" s="1"/>
  <c r="V74" i="3"/>
  <c r="J73" i="4" s="1"/>
  <c r="M73" i="4" s="1"/>
  <c r="V70" i="3"/>
  <c r="J69" i="4" s="1"/>
  <c r="M69" i="4" s="1"/>
  <c r="V69" i="3"/>
  <c r="J68" i="4" s="1"/>
  <c r="M68" i="4" s="1"/>
  <c r="V66" i="3"/>
  <c r="J65" i="4" s="1"/>
  <c r="M65" i="4" s="1"/>
  <c r="V62" i="3"/>
  <c r="J61" i="4" s="1"/>
  <c r="M61" i="4" s="1"/>
  <c r="V61" i="3"/>
  <c r="J60" i="4" s="1"/>
  <c r="M60" i="4" s="1"/>
  <c r="M84" i="3"/>
  <c r="C83" i="4" s="1"/>
  <c r="F83" i="4" s="1"/>
  <c r="V93" i="3"/>
  <c r="J92" i="4" s="1"/>
  <c r="M92" i="4" s="1"/>
  <c r="V89" i="3"/>
  <c r="J88" i="4" s="1"/>
  <c r="M88" i="4" s="1"/>
  <c r="M124" i="3"/>
  <c r="C124" i="4" s="1"/>
  <c r="F124" i="4" s="1"/>
  <c r="M120" i="3"/>
  <c r="C120" i="4" s="1"/>
  <c r="F120" i="4" s="1"/>
  <c r="M116" i="3"/>
  <c r="C116" i="4" s="1"/>
  <c r="F116" i="4" s="1"/>
  <c r="V129" i="3"/>
  <c r="J129" i="4" s="1"/>
  <c r="M129" i="4" s="1"/>
  <c r="V125" i="3"/>
  <c r="J125" i="4" s="1"/>
  <c r="V121" i="3"/>
  <c r="J121" i="4" s="1"/>
  <c r="M121" i="4" s="1"/>
  <c r="V113" i="3"/>
  <c r="J113" i="4" s="1"/>
  <c r="M113" i="4" s="1"/>
  <c r="M103" i="3"/>
  <c r="C102" i="4" s="1"/>
  <c r="F102" i="4" s="1"/>
  <c r="M99" i="3"/>
  <c r="C98" i="4" s="1"/>
  <c r="F98" i="4" s="1"/>
  <c r="M95" i="3"/>
  <c r="C94" i="4" s="1"/>
  <c r="F94" i="4" s="1"/>
  <c r="M91" i="3"/>
  <c r="C90" i="4" s="1"/>
  <c r="F90" i="4" s="1"/>
  <c r="M87" i="3"/>
  <c r="C86" i="4" s="1"/>
  <c r="F86" i="4" s="1"/>
  <c r="V104" i="3"/>
  <c r="J103" i="4" s="1"/>
  <c r="M103" i="4" s="1"/>
  <c r="V100" i="3"/>
  <c r="J99" i="4" s="1"/>
  <c r="M99" i="4" s="1"/>
  <c r="V96" i="3"/>
  <c r="J95" i="4" s="1"/>
  <c r="M95" i="4" s="1"/>
  <c r="V92" i="3"/>
  <c r="J91" i="4" s="1"/>
  <c r="M91" i="4" s="1"/>
  <c r="V88" i="3"/>
  <c r="J87" i="4" s="1"/>
  <c r="M127" i="3"/>
  <c r="C127" i="4" s="1"/>
  <c r="F127" i="4" s="1"/>
  <c r="M123" i="3"/>
  <c r="C123" i="4" s="1"/>
  <c r="F123" i="4" s="1"/>
  <c r="M119" i="3"/>
  <c r="C119" i="4" s="1"/>
  <c r="F119" i="4" s="1"/>
  <c r="M115" i="3"/>
  <c r="C115" i="4" s="1"/>
  <c r="F115" i="4" s="1"/>
  <c r="M111" i="3"/>
  <c r="C111" i="4" s="1"/>
  <c r="F111" i="4" s="1"/>
  <c r="V128" i="3"/>
  <c r="J128" i="4" s="1"/>
  <c r="M128" i="4" s="1"/>
  <c r="V124" i="3"/>
  <c r="J124" i="4" s="1"/>
  <c r="M124" i="4" s="1"/>
  <c r="V120" i="3"/>
  <c r="J120" i="4" s="1"/>
  <c r="M120" i="4" s="1"/>
  <c r="V116" i="3"/>
  <c r="J116" i="4" s="1"/>
  <c r="M116" i="4" s="1"/>
  <c r="V112" i="3"/>
  <c r="J112" i="4" s="1"/>
  <c r="M112" i="4" s="1"/>
  <c r="V99" i="3"/>
  <c r="J98" i="4" s="1"/>
  <c r="M98" i="4" s="1"/>
  <c r="V95" i="3"/>
  <c r="J94" i="4" s="1"/>
  <c r="M94" i="4" s="1"/>
  <c r="V91" i="3"/>
  <c r="J90" i="4" s="1"/>
  <c r="M90" i="4" s="1"/>
  <c r="V87" i="3"/>
  <c r="J86" i="4" s="1"/>
  <c r="M86" i="4" s="1"/>
  <c r="M130" i="3"/>
  <c r="C130" i="4" s="1"/>
  <c r="F130" i="4" s="1"/>
  <c r="M126" i="3"/>
  <c r="C126" i="4" s="1"/>
  <c r="F126" i="4" s="1"/>
  <c r="M122" i="3"/>
  <c r="C122" i="4" s="1"/>
  <c r="F122" i="4" s="1"/>
  <c r="M118" i="3"/>
  <c r="C118" i="4" s="1"/>
  <c r="F118" i="4" s="1"/>
  <c r="M114" i="3"/>
  <c r="C114" i="4" s="1"/>
  <c r="V110" i="3"/>
  <c r="J110" i="4" s="1"/>
  <c r="V127" i="3"/>
  <c r="J127" i="4" s="1"/>
  <c r="M127" i="4" s="1"/>
  <c r="V123" i="3"/>
  <c r="J123" i="4" s="1"/>
  <c r="M123" i="4" s="1"/>
  <c r="V119" i="3"/>
  <c r="J119" i="4" s="1"/>
  <c r="M119" i="4" s="1"/>
  <c r="V115" i="3"/>
  <c r="J115" i="4" s="1"/>
  <c r="M115" i="4" s="1"/>
  <c r="M101" i="3"/>
  <c r="C100" i="4" s="1"/>
  <c r="F100" i="4" s="1"/>
  <c r="M97" i="3"/>
  <c r="C96" i="4" s="1"/>
  <c r="F96" i="4" s="1"/>
  <c r="M93" i="3"/>
  <c r="C92" i="4" s="1"/>
  <c r="F92" i="4" s="1"/>
  <c r="M89" i="3"/>
  <c r="C88" i="4" s="1"/>
  <c r="F88" i="4" s="1"/>
  <c r="M85" i="3"/>
  <c r="C84" i="4" s="1"/>
  <c r="F84" i="4" s="1"/>
  <c r="V102" i="3"/>
  <c r="J101" i="4" s="1"/>
  <c r="M101" i="4" s="1"/>
  <c r="V98" i="3"/>
  <c r="J97" i="4" s="1"/>
  <c r="M97" i="4" s="1"/>
  <c r="V94" i="3"/>
  <c r="J93" i="4" s="1"/>
  <c r="M93" i="4" s="1"/>
  <c r="V90" i="3"/>
  <c r="J89" i="4" s="1"/>
  <c r="M89" i="4" s="1"/>
  <c r="V86" i="3"/>
  <c r="J85" i="4" s="1"/>
  <c r="M85" i="4" s="1"/>
  <c r="M129" i="3"/>
  <c r="C129" i="4" s="1"/>
  <c r="F129" i="4" s="1"/>
  <c r="M125" i="3"/>
  <c r="C125" i="4" s="1"/>
  <c r="F125" i="4" s="1"/>
  <c r="M121" i="3"/>
  <c r="C121" i="4" s="1"/>
  <c r="F121" i="4" s="1"/>
  <c r="M117" i="3"/>
  <c r="C117" i="4" s="1"/>
  <c r="F117" i="4" s="1"/>
  <c r="M113" i="3"/>
  <c r="C113" i="4" s="1"/>
  <c r="F113" i="4" s="1"/>
  <c r="V130" i="3"/>
  <c r="J130" i="4" s="1"/>
  <c r="M130" i="4" s="1"/>
  <c r="V126" i="3"/>
  <c r="J126" i="4" s="1"/>
  <c r="M126" i="4" s="1"/>
  <c r="V122" i="3"/>
  <c r="J122" i="4" s="1"/>
  <c r="M122" i="4" s="1"/>
  <c r="V118" i="3"/>
  <c r="J118" i="4" s="1"/>
  <c r="M118" i="4" s="1"/>
  <c r="V114" i="3"/>
  <c r="J114" i="4" s="1"/>
  <c r="M114" i="4" s="1"/>
  <c r="V65" i="3"/>
  <c r="J64" i="4" s="1"/>
  <c r="M64" i="4" s="1"/>
  <c r="V73" i="3"/>
  <c r="J72" i="4" s="1"/>
  <c r="M72" i="4" s="1"/>
  <c r="E65" i="4" l="1"/>
  <c r="G65" i="4" s="1"/>
  <c r="C66" i="5" s="1"/>
  <c r="F65" i="4"/>
  <c r="E25" i="4"/>
  <c r="G25" i="4" s="1"/>
  <c r="C25" i="5" s="1"/>
  <c r="F25" i="4"/>
  <c r="E99" i="4"/>
  <c r="G99" i="4" s="1"/>
  <c r="C101" i="5" s="1"/>
  <c r="F99" i="4"/>
  <c r="L96" i="4"/>
  <c r="N96" i="4" s="1"/>
  <c r="M98" i="5" s="1"/>
  <c r="M96" i="4"/>
  <c r="E63" i="4"/>
  <c r="G63" i="4" s="1"/>
  <c r="C64" i="5" s="1"/>
  <c r="F63" i="4"/>
  <c r="E7" i="4"/>
  <c r="G7" i="4" s="1"/>
  <c r="F7" i="4"/>
  <c r="L83" i="4"/>
  <c r="N83" i="4" s="1"/>
  <c r="M83" i="4"/>
  <c r="E5" i="4"/>
  <c r="G5" i="4" s="1"/>
  <c r="F5" i="4"/>
  <c r="E75" i="4"/>
  <c r="G75" i="4" s="1"/>
  <c r="C76" i="5" s="1"/>
  <c r="F75" i="4"/>
  <c r="L117" i="4"/>
  <c r="N117" i="4" s="1"/>
  <c r="M119" i="5" s="1"/>
  <c r="M117" i="4"/>
  <c r="L40" i="4"/>
  <c r="N40" i="4" s="1"/>
  <c r="M40" i="5" s="1"/>
  <c r="M40" i="4"/>
  <c r="E11" i="4"/>
  <c r="G11" i="4" s="1"/>
  <c r="C11" i="5" s="1"/>
  <c r="F11" i="4"/>
  <c r="L31" i="4"/>
  <c r="N31" i="4" s="1"/>
  <c r="M31" i="4"/>
  <c r="L63" i="4"/>
  <c r="N63" i="4" s="1"/>
  <c r="M64" i="5" s="1"/>
  <c r="M63" i="4"/>
  <c r="L110" i="4"/>
  <c r="N110" i="4" s="1"/>
  <c r="M110" i="4"/>
  <c r="L87" i="4"/>
  <c r="N87" i="4" s="1"/>
  <c r="M89" i="5" s="1"/>
  <c r="M87" i="4"/>
  <c r="L125" i="4"/>
  <c r="M125" i="4"/>
  <c r="E73" i="4"/>
  <c r="G73" i="4" s="1"/>
  <c r="C74" i="5" s="1"/>
  <c r="F73" i="4"/>
  <c r="L66" i="4"/>
  <c r="N66" i="4" s="1"/>
  <c r="M67" i="5" s="1"/>
  <c r="M66" i="4"/>
  <c r="E114" i="4"/>
  <c r="G114" i="4" s="1"/>
  <c r="C116" i="5" s="1"/>
  <c r="F114" i="4"/>
  <c r="E77" i="4"/>
  <c r="G77" i="4" s="1"/>
  <c r="C78" i="5" s="1"/>
  <c r="F77" i="4"/>
  <c r="E35" i="4"/>
  <c r="G35" i="4" s="1"/>
  <c r="C35" i="5" s="1"/>
  <c r="F35" i="4"/>
  <c r="E95" i="4"/>
  <c r="G95" i="4" s="1"/>
  <c r="C97" i="5" s="1"/>
  <c r="F95" i="4"/>
  <c r="E19" i="4"/>
  <c r="G19" i="4" s="1"/>
  <c r="C19" i="5" s="1"/>
  <c r="F19" i="4"/>
  <c r="E59" i="4"/>
  <c r="G59" i="4" s="1"/>
  <c r="F59" i="4"/>
  <c r="E39" i="4"/>
  <c r="G39" i="4" s="1"/>
  <c r="C39" i="5" s="1"/>
  <c r="F39" i="4"/>
  <c r="L70" i="4"/>
  <c r="N70" i="4" s="1"/>
  <c r="M71" i="5" s="1"/>
  <c r="M70" i="4"/>
  <c r="L75" i="4"/>
  <c r="N75" i="4" s="1"/>
  <c r="M76" i="5" s="1"/>
  <c r="O76" i="5" s="1"/>
  <c r="E46" i="4"/>
  <c r="G46" i="4" s="1"/>
  <c r="C46" i="5" s="1"/>
  <c r="L74" i="4"/>
  <c r="N74" i="4" s="1"/>
  <c r="M75" i="5" s="1"/>
  <c r="O75" i="5" s="1"/>
  <c r="L67" i="4"/>
  <c r="N67" i="4" s="1"/>
  <c r="M68" i="5" s="1"/>
  <c r="O68" i="5" s="1"/>
  <c r="L48" i="4"/>
  <c r="N48" i="4" s="1"/>
  <c r="M48" i="5" s="1"/>
  <c r="O48" i="5" s="1"/>
  <c r="E47" i="4"/>
  <c r="G47" i="4" s="1"/>
  <c r="C47" i="5" s="1"/>
  <c r="L71" i="4"/>
  <c r="N71" i="4" s="1"/>
  <c r="M72" i="5" s="1"/>
  <c r="O72" i="5" s="1"/>
  <c r="E66" i="4"/>
  <c r="G66" i="4" s="1"/>
  <c r="C67" i="5" s="1"/>
  <c r="L51" i="4"/>
  <c r="N51" i="4" s="1"/>
  <c r="M51" i="5" s="1"/>
  <c r="L58" i="4"/>
  <c r="N58" i="4" s="1"/>
  <c r="M59" i="5" s="1"/>
  <c r="O119" i="5"/>
  <c r="O67" i="5"/>
  <c r="O98" i="5"/>
  <c r="M112" i="5"/>
  <c r="O112" i="5" s="1"/>
  <c r="O33" i="12"/>
  <c r="P33" i="12" s="1"/>
  <c r="L33" i="13" s="1"/>
  <c r="O40" i="5"/>
  <c r="C60" i="5"/>
  <c r="G21" i="12"/>
  <c r="H21" i="12" s="1"/>
  <c r="C21" i="13" s="1"/>
  <c r="O71" i="5"/>
  <c r="C5" i="5"/>
  <c r="G5" i="12"/>
  <c r="H5" i="12" s="1"/>
  <c r="C5" i="13" s="1"/>
  <c r="M31" i="5"/>
  <c r="O31" i="5" s="1"/>
  <c r="O12" i="12"/>
  <c r="P12" i="12" s="1"/>
  <c r="L12" i="13" s="1"/>
  <c r="M85" i="5"/>
  <c r="O85" i="5" s="1"/>
  <c r="O26" i="12"/>
  <c r="P26" i="12" s="1"/>
  <c r="L26" i="13" s="1"/>
  <c r="C7" i="5"/>
  <c r="G7" i="12"/>
  <c r="H7" i="12" s="1"/>
  <c r="C7" i="13" s="1"/>
  <c r="C57" i="4"/>
  <c r="H26" i="12"/>
  <c r="C26" i="13" s="1"/>
  <c r="L35" i="4"/>
  <c r="N35" i="4" s="1"/>
  <c r="M35" i="5" s="1"/>
  <c r="L32" i="4"/>
  <c r="N32" i="4" s="1"/>
  <c r="L59" i="4"/>
  <c r="N59" i="4" s="1"/>
  <c r="E128" i="4"/>
  <c r="G128" i="4" s="1"/>
  <c r="C130" i="5" s="1"/>
  <c r="J21" i="4"/>
  <c r="M21" i="5"/>
  <c r="J14" i="4"/>
  <c r="M14" i="5"/>
  <c r="O14" i="5" s="1"/>
  <c r="N11" i="5"/>
  <c r="D13" i="5"/>
  <c r="E101" i="5"/>
  <c r="D21" i="5"/>
  <c r="J9" i="4"/>
  <c r="M9" i="5"/>
  <c r="J25" i="4"/>
  <c r="M25" i="4" s="1"/>
  <c r="M25" i="5"/>
  <c r="J18" i="4"/>
  <c r="M18" i="5"/>
  <c r="J7" i="4"/>
  <c r="M7" i="5"/>
  <c r="J23" i="4"/>
  <c r="M23" i="4" s="1"/>
  <c r="M23" i="5"/>
  <c r="O23" i="5" s="1"/>
  <c r="J16" i="4"/>
  <c r="M16" i="5"/>
  <c r="J12" i="4"/>
  <c r="M12" i="5"/>
  <c r="O12" i="5" s="1"/>
  <c r="N7" i="5"/>
  <c r="N13" i="5"/>
  <c r="D6" i="5"/>
  <c r="D10" i="5"/>
  <c r="D14" i="5"/>
  <c r="D18" i="5"/>
  <c r="D22" i="5"/>
  <c r="D5" i="5"/>
  <c r="J19" i="4"/>
  <c r="M19" i="5"/>
  <c r="J8" i="4"/>
  <c r="M8" i="5"/>
  <c r="N6" i="5"/>
  <c r="D9" i="5"/>
  <c r="D17" i="5"/>
  <c r="D25" i="5"/>
  <c r="J13" i="4"/>
  <c r="M13" i="5"/>
  <c r="J6" i="4"/>
  <c r="M6" i="5"/>
  <c r="J22" i="4"/>
  <c r="M22" i="5"/>
  <c r="O22" i="5" s="1"/>
  <c r="L62" i="4"/>
  <c r="N62" i="4" s="1"/>
  <c r="M63" i="5" s="1"/>
  <c r="J11" i="4"/>
  <c r="M11" i="5"/>
  <c r="J24" i="4"/>
  <c r="M24" i="4" s="1"/>
  <c r="M24" i="5"/>
  <c r="O24" i="5" s="1"/>
  <c r="N9" i="5"/>
  <c r="D7" i="5"/>
  <c r="D11" i="5"/>
  <c r="D15" i="5"/>
  <c r="D19" i="5"/>
  <c r="D23" i="5"/>
  <c r="N17" i="5"/>
  <c r="J20" i="4"/>
  <c r="M20" i="5"/>
  <c r="J17" i="4"/>
  <c r="M17" i="5"/>
  <c r="J10" i="4"/>
  <c r="M10" i="5"/>
  <c r="J5" i="4"/>
  <c r="M5" i="5"/>
  <c r="O5" i="5" s="1"/>
  <c r="J15" i="4"/>
  <c r="M15" i="4" s="1"/>
  <c r="M15" i="5"/>
  <c r="N10" i="5"/>
  <c r="D8" i="5"/>
  <c r="D12" i="5"/>
  <c r="D16" i="5"/>
  <c r="D20" i="5"/>
  <c r="D24" i="5"/>
  <c r="N21" i="5"/>
  <c r="N25" i="5"/>
  <c r="E112" i="4"/>
  <c r="G112" i="4" s="1"/>
  <c r="E71" i="4"/>
  <c r="G71" i="4" s="1"/>
  <c r="C72" i="5" s="1"/>
  <c r="E36" i="4"/>
  <c r="G36" i="4" s="1"/>
  <c r="C36" i="5" s="1"/>
  <c r="E88" i="4"/>
  <c r="G88" i="4" s="1"/>
  <c r="E23" i="4"/>
  <c r="G23" i="4" s="1"/>
  <c r="C23" i="5" s="1"/>
  <c r="E72" i="4"/>
  <c r="G72" i="4" s="1"/>
  <c r="C73" i="5" s="1"/>
  <c r="E87" i="4"/>
  <c r="G87" i="4" s="1"/>
  <c r="E91" i="4"/>
  <c r="G91" i="4" s="1"/>
  <c r="C93" i="5" s="1"/>
  <c r="L44" i="4"/>
  <c r="N44" i="4" s="1"/>
  <c r="M44" i="5" s="1"/>
  <c r="O44" i="5" s="1"/>
  <c r="E68" i="4"/>
  <c r="G68" i="4" s="1"/>
  <c r="C69" i="5" s="1"/>
  <c r="L100" i="4"/>
  <c r="N100" i="4" s="1"/>
  <c r="M102" i="5" s="1"/>
  <c r="O102" i="5" s="1"/>
  <c r="L99" i="4"/>
  <c r="N99" i="4" s="1"/>
  <c r="M101" i="5" s="1"/>
  <c r="E32" i="4"/>
  <c r="G32" i="4" s="1"/>
  <c r="E48" i="4"/>
  <c r="G48" i="4" s="1"/>
  <c r="C48" i="5" s="1"/>
  <c r="E92" i="4"/>
  <c r="G92" i="4" s="1"/>
  <c r="C94" i="5" s="1"/>
  <c r="E61" i="4"/>
  <c r="G61" i="4" s="1"/>
  <c r="C62" i="5" s="1"/>
  <c r="E50" i="4"/>
  <c r="G50" i="4" s="1"/>
  <c r="C50" i="5" s="1"/>
  <c r="E34" i="4"/>
  <c r="G34" i="4" s="1"/>
  <c r="C34" i="5" s="1"/>
  <c r="E70" i="4"/>
  <c r="G70" i="4" s="1"/>
  <c r="C71" i="5" s="1"/>
  <c r="E51" i="4"/>
  <c r="G51" i="4" s="1"/>
  <c r="C51" i="5" s="1"/>
  <c r="L93" i="4"/>
  <c r="N93" i="4" s="1"/>
  <c r="M95" i="5" s="1"/>
  <c r="O95" i="5" s="1"/>
  <c r="E102" i="4"/>
  <c r="G102" i="4" s="1"/>
  <c r="C104" i="5" s="1"/>
  <c r="L102" i="4"/>
  <c r="N102" i="4" s="1"/>
  <c r="M104" i="5" s="1"/>
  <c r="O104" i="5" s="1"/>
  <c r="L118" i="4"/>
  <c r="N118" i="4" s="1"/>
  <c r="M120" i="5" s="1"/>
  <c r="E126" i="4"/>
  <c r="G126" i="4" s="1"/>
  <c r="C128" i="5" s="1"/>
  <c r="E117" i="4"/>
  <c r="G117" i="4" s="1"/>
  <c r="C119" i="5" s="1"/>
  <c r="E94" i="4"/>
  <c r="G94" i="4" s="1"/>
  <c r="C96" i="5" s="1"/>
  <c r="L77" i="4"/>
  <c r="N77" i="4" s="1"/>
  <c r="M78" i="5" s="1"/>
  <c r="L94" i="4"/>
  <c r="N94" i="4" s="1"/>
  <c r="M96" i="5" s="1"/>
  <c r="E113" i="4"/>
  <c r="G113" i="4" s="1"/>
  <c r="C115" i="5" s="1"/>
  <c r="E98" i="4"/>
  <c r="G98" i="4" s="1"/>
  <c r="C100" i="5" s="1"/>
  <c r="E69" i="4"/>
  <c r="G69" i="4" s="1"/>
  <c r="C70" i="5" s="1"/>
  <c r="E96" i="4"/>
  <c r="G96" i="4" s="1"/>
  <c r="C98" i="5" s="1"/>
  <c r="E42" i="4"/>
  <c r="G42" i="4" s="1"/>
  <c r="C42" i="5" s="1"/>
  <c r="E130" i="4"/>
  <c r="G130" i="4" s="1"/>
  <c r="C132" i="5" s="1"/>
  <c r="E64" i="4"/>
  <c r="G64" i="4" s="1"/>
  <c r="C65" i="5" s="1"/>
  <c r="E86" i="4"/>
  <c r="G86" i="4" s="1"/>
  <c r="C88" i="5" s="1"/>
  <c r="E15" i="4"/>
  <c r="G15" i="4" s="1"/>
  <c r="C15" i="5" s="1"/>
  <c r="E40" i="4"/>
  <c r="G40" i="4" s="1"/>
  <c r="C40" i="5" s="1"/>
  <c r="E103" i="4"/>
  <c r="G103" i="4" s="1"/>
  <c r="C105" i="5" s="1"/>
  <c r="E44" i="4"/>
  <c r="G44" i="4" s="1"/>
  <c r="C44" i="5" s="1"/>
  <c r="E62" i="4"/>
  <c r="G62" i="4" s="1"/>
  <c r="C63" i="5" s="1"/>
  <c r="L95" i="4"/>
  <c r="N95" i="4" s="1"/>
  <c r="M97" i="5" s="1"/>
  <c r="L73" i="4"/>
  <c r="N73" i="4" s="1"/>
  <c r="M74" i="5" s="1"/>
  <c r="L128" i="4"/>
  <c r="N128" i="4" s="1"/>
  <c r="M130" i="5" s="1"/>
  <c r="L45" i="4"/>
  <c r="N45" i="4" s="1"/>
  <c r="M45" i="5" s="1"/>
  <c r="O45" i="5" s="1"/>
  <c r="E20" i="4"/>
  <c r="G20" i="4" s="1"/>
  <c r="C20" i="5" s="1"/>
  <c r="L57" i="4"/>
  <c r="N57" i="4" s="1"/>
  <c r="L36" i="4"/>
  <c r="N36" i="4" s="1"/>
  <c r="M36" i="5" s="1"/>
  <c r="E18" i="4"/>
  <c r="G18" i="4" s="1"/>
  <c r="C18" i="5" s="1"/>
  <c r="E100" i="4"/>
  <c r="G100" i="4" s="1"/>
  <c r="C102" i="5" s="1"/>
  <c r="L86" i="4"/>
  <c r="N86" i="4" s="1"/>
  <c r="M88" i="5" s="1"/>
  <c r="O88" i="5" s="1"/>
  <c r="L111" i="4"/>
  <c r="N111" i="4" s="1"/>
  <c r="L90" i="4"/>
  <c r="N90" i="4" s="1"/>
  <c r="M92" i="5" s="1"/>
  <c r="L116" i="4"/>
  <c r="N116" i="4" s="1"/>
  <c r="M118" i="5" s="1"/>
  <c r="E111" i="4"/>
  <c r="G111" i="4" s="1"/>
  <c r="E127" i="4"/>
  <c r="L113" i="4"/>
  <c r="N113" i="4" s="1"/>
  <c r="M115" i="5" s="1"/>
  <c r="O115" i="5" s="1"/>
  <c r="E116" i="4"/>
  <c r="G116" i="4" s="1"/>
  <c r="C118" i="5" s="1"/>
  <c r="L88" i="4"/>
  <c r="N88" i="4" s="1"/>
  <c r="M90" i="5" s="1"/>
  <c r="L61" i="4"/>
  <c r="N61" i="4" s="1"/>
  <c r="M62" i="5" s="1"/>
  <c r="L33" i="4"/>
  <c r="N33" i="4" s="1"/>
  <c r="L49" i="4"/>
  <c r="N49" i="4" s="1"/>
  <c r="M49" i="5" s="1"/>
  <c r="E8" i="4"/>
  <c r="G8" i="4" s="1"/>
  <c r="C8" i="5" s="1"/>
  <c r="E24" i="4"/>
  <c r="G24" i="4" s="1"/>
  <c r="C24" i="5" s="1"/>
  <c r="E93" i="4"/>
  <c r="G93" i="4" s="1"/>
  <c r="C95" i="5" s="1"/>
  <c r="L46" i="4"/>
  <c r="N46" i="4" s="1"/>
  <c r="M46" i="5" s="1"/>
  <c r="O46" i="5" s="1"/>
  <c r="E41" i="4"/>
  <c r="G41" i="4" s="1"/>
  <c r="C41" i="5" s="1"/>
  <c r="E21" i="4"/>
  <c r="G21" i="4" s="1"/>
  <c r="C21" i="5" s="1"/>
  <c r="L47" i="4"/>
  <c r="N47" i="4" s="1"/>
  <c r="M47" i="5" s="1"/>
  <c r="E6" i="4"/>
  <c r="G6" i="4" s="1"/>
  <c r="E22" i="4"/>
  <c r="G22" i="4" s="1"/>
  <c r="C22" i="5" s="1"/>
  <c r="E67" i="4"/>
  <c r="G67" i="4" s="1"/>
  <c r="C68" i="5" s="1"/>
  <c r="L72" i="4"/>
  <c r="N72" i="4" s="1"/>
  <c r="M73" i="5" s="1"/>
  <c r="O73" i="5" s="1"/>
  <c r="E121" i="4"/>
  <c r="G121" i="4" s="1"/>
  <c r="C123" i="5" s="1"/>
  <c r="L123" i="4"/>
  <c r="L112" i="4"/>
  <c r="N112" i="4" s="1"/>
  <c r="L84" i="4"/>
  <c r="N84" i="4" s="1"/>
  <c r="L60" i="4"/>
  <c r="N60" i="4" s="1"/>
  <c r="M61" i="5" s="1"/>
  <c r="O61" i="5" s="1"/>
  <c r="L42" i="4"/>
  <c r="N42" i="4" s="1"/>
  <c r="M42" i="5" s="1"/>
  <c r="E37" i="4"/>
  <c r="G37" i="4" s="1"/>
  <c r="C37" i="5" s="1"/>
  <c r="E43" i="4"/>
  <c r="G43" i="4" s="1"/>
  <c r="C43" i="5" s="1"/>
  <c r="L64" i="4"/>
  <c r="N64" i="4" s="1"/>
  <c r="M65" i="5" s="1"/>
  <c r="E38" i="4"/>
  <c r="G38" i="4" s="1"/>
  <c r="C38" i="5" s="1"/>
  <c r="E84" i="4"/>
  <c r="G84" i="4" s="1"/>
  <c r="C86" i="5" s="1"/>
  <c r="L91" i="4"/>
  <c r="N91" i="4" s="1"/>
  <c r="M93" i="5" s="1"/>
  <c r="L126" i="4"/>
  <c r="N126" i="4" s="1"/>
  <c r="M128" i="5" s="1"/>
  <c r="L114" i="4"/>
  <c r="N114" i="4" s="1"/>
  <c r="M116" i="5" s="1"/>
  <c r="E125" i="4"/>
  <c r="L127" i="4"/>
  <c r="N127" i="4" s="1"/>
  <c r="M129" i="5" s="1"/>
  <c r="E76" i="4"/>
  <c r="G76" i="4" s="1"/>
  <c r="C77" i="5" s="1"/>
  <c r="E60" i="4"/>
  <c r="G60" i="4" s="1"/>
  <c r="C61" i="5" s="1"/>
  <c r="E90" i="4"/>
  <c r="G90" i="4" s="1"/>
  <c r="C92" i="5" s="1"/>
  <c r="L103" i="4"/>
  <c r="N103" i="4" s="1"/>
  <c r="M105" i="5" s="1"/>
  <c r="E122" i="4"/>
  <c r="G122" i="4" s="1"/>
  <c r="C124" i="5" s="1"/>
  <c r="L98" i="4"/>
  <c r="N98" i="4" s="1"/>
  <c r="M100" i="5" s="1"/>
  <c r="L130" i="4"/>
  <c r="N130" i="4" s="1"/>
  <c r="M132" i="5" s="1"/>
  <c r="E129" i="4"/>
  <c r="G129" i="4" s="1"/>
  <c r="C131" i="5" s="1"/>
  <c r="L97" i="4"/>
  <c r="N97" i="4" s="1"/>
  <c r="M99" i="5" s="1"/>
  <c r="O99" i="5" s="1"/>
  <c r="L115" i="4"/>
  <c r="N115" i="4" s="1"/>
  <c r="M117" i="5" s="1"/>
  <c r="L120" i="4"/>
  <c r="N120" i="4" s="1"/>
  <c r="M122" i="5" s="1"/>
  <c r="O122" i="5" s="1"/>
  <c r="E115" i="4"/>
  <c r="G115" i="4" s="1"/>
  <c r="C117" i="5" s="1"/>
  <c r="E110" i="4"/>
  <c r="G110" i="4" s="1"/>
  <c r="L121" i="4"/>
  <c r="N121" i="4" s="1"/>
  <c r="M123" i="5" s="1"/>
  <c r="O123" i="5" s="1"/>
  <c r="E120" i="4"/>
  <c r="G120" i="4" s="1"/>
  <c r="C122" i="5" s="1"/>
  <c r="L92" i="4"/>
  <c r="N92" i="4" s="1"/>
  <c r="M94" i="5" s="1"/>
  <c r="O94" i="5" s="1"/>
  <c r="L65" i="4"/>
  <c r="N65" i="4" s="1"/>
  <c r="M66" i="5" s="1"/>
  <c r="L76" i="4"/>
  <c r="N76" i="4" s="1"/>
  <c r="M77" i="5" s="1"/>
  <c r="O77" i="5" s="1"/>
  <c r="L37" i="4"/>
  <c r="N37" i="4" s="1"/>
  <c r="M37" i="5" s="1"/>
  <c r="E12" i="4"/>
  <c r="G12" i="4" s="1"/>
  <c r="C12" i="5" s="1"/>
  <c r="E97" i="4"/>
  <c r="G97" i="4" s="1"/>
  <c r="C99" i="5" s="1"/>
  <c r="L34" i="4"/>
  <c r="N34" i="4" s="1"/>
  <c r="M34" i="5" s="1"/>
  <c r="L50" i="4"/>
  <c r="N50" i="4" s="1"/>
  <c r="M50" i="5" s="1"/>
  <c r="O50" i="5" s="1"/>
  <c r="E45" i="4"/>
  <c r="G45" i="4" s="1"/>
  <c r="C45" i="5" s="1"/>
  <c r="E9" i="4"/>
  <c r="G9" i="4" s="1"/>
  <c r="C9" i="5" s="1"/>
  <c r="E10" i="4"/>
  <c r="G10" i="4" s="1"/>
  <c r="C10" i="5" s="1"/>
  <c r="L89" i="4"/>
  <c r="N89" i="4" s="1"/>
  <c r="M91" i="5" s="1"/>
  <c r="E123" i="4"/>
  <c r="G123" i="4" s="1"/>
  <c r="C125" i="5" s="1"/>
  <c r="L129" i="4"/>
  <c r="N129" i="4" s="1"/>
  <c r="M131" i="5" s="1"/>
  <c r="E89" i="4"/>
  <c r="G89" i="4" s="1"/>
  <c r="E17" i="4"/>
  <c r="G17" i="4" s="1"/>
  <c r="C17" i="5" s="1"/>
  <c r="E74" i="4"/>
  <c r="G74" i="4" s="1"/>
  <c r="C75" i="5" s="1"/>
  <c r="E58" i="4"/>
  <c r="G58" i="4" s="1"/>
  <c r="L43" i="4"/>
  <c r="N43" i="4" s="1"/>
  <c r="M43" i="5" s="1"/>
  <c r="L69" i="4"/>
  <c r="N69" i="4" s="1"/>
  <c r="M70" i="5" s="1"/>
  <c r="E118" i="4"/>
  <c r="G118" i="4" s="1"/>
  <c r="C120" i="5" s="1"/>
  <c r="L122" i="4"/>
  <c r="N122" i="4" s="1"/>
  <c r="M124" i="5" s="1"/>
  <c r="L85" i="4"/>
  <c r="N85" i="4" s="1"/>
  <c r="L101" i="4"/>
  <c r="N101" i="4" s="1"/>
  <c r="M103" i="5" s="1"/>
  <c r="O103" i="5" s="1"/>
  <c r="L119" i="4"/>
  <c r="N119" i="4" s="1"/>
  <c r="M121" i="5" s="1"/>
  <c r="O121" i="5" s="1"/>
  <c r="L124" i="4"/>
  <c r="N124" i="4" s="1"/>
  <c r="M126" i="5" s="1"/>
  <c r="O126" i="5" s="1"/>
  <c r="E119" i="4"/>
  <c r="G119" i="4" s="1"/>
  <c r="C121" i="5" s="1"/>
  <c r="E124" i="4"/>
  <c r="E83" i="4"/>
  <c r="G83" i="4" s="1"/>
  <c r="C85" i="5" s="1"/>
  <c r="L68" i="4"/>
  <c r="N68" i="4" s="1"/>
  <c r="M69" i="5" s="1"/>
  <c r="O69" i="5" s="1"/>
  <c r="L41" i="4"/>
  <c r="N41" i="4" s="1"/>
  <c r="M41" i="5" s="1"/>
  <c r="O41" i="5" s="1"/>
  <c r="E31" i="4"/>
  <c r="G31" i="4" s="1"/>
  <c r="E16" i="4"/>
  <c r="G16" i="4" s="1"/>
  <c r="C16" i="5" s="1"/>
  <c r="E85" i="4"/>
  <c r="G85" i="4" s="1"/>
  <c r="C87" i="5" s="1"/>
  <c r="E101" i="4"/>
  <c r="G101" i="4" s="1"/>
  <c r="C103" i="5" s="1"/>
  <c r="L38" i="4"/>
  <c r="N38" i="4" s="1"/>
  <c r="M38" i="5" s="1"/>
  <c r="E33" i="4"/>
  <c r="G33" i="4" s="1"/>
  <c r="E49" i="4"/>
  <c r="G49" i="4" s="1"/>
  <c r="C49" i="5" s="1"/>
  <c r="E13" i="4"/>
  <c r="G13" i="4" s="1"/>
  <c r="C13" i="5" s="1"/>
  <c r="L39" i="4"/>
  <c r="N39" i="4" s="1"/>
  <c r="M39" i="5" s="1"/>
  <c r="E14" i="4"/>
  <c r="G14" i="4" s="1"/>
  <c r="C14" i="5" s="1"/>
  <c r="L5" i="4" l="1"/>
  <c r="N5" i="4" s="1"/>
  <c r="O5" i="12" s="1"/>
  <c r="P5" i="12" s="1"/>
  <c r="L5" i="13" s="1"/>
  <c r="M5" i="4"/>
  <c r="L17" i="4"/>
  <c r="N17" i="4" s="1"/>
  <c r="M17" i="4"/>
  <c r="L22" i="4"/>
  <c r="N22" i="4" s="1"/>
  <c r="M22" i="4"/>
  <c r="L13" i="4"/>
  <c r="N13" i="4" s="1"/>
  <c r="M13" i="4"/>
  <c r="L19" i="4"/>
  <c r="N19" i="4" s="1"/>
  <c r="M19" i="4"/>
  <c r="L16" i="4"/>
  <c r="N16" i="4" s="1"/>
  <c r="M16" i="4"/>
  <c r="L7" i="4"/>
  <c r="N7" i="4" s="1"/>
  <c r="O7" i="12" s="1"/>
  <c r="P7" i="12" s="1"/>
  <c r="L7" i="13" s="1"/>
  <c r="M7" i="4"/>
  <c r="L14" i="4"/>
  <c r="N14" i="4" s="1"/>
  <c r="M14" i="4"/>
  <c r="E57" i="4"/>
  <c r="G57" i="4" s="1"/>
  <c r="F57" i="4"/>
  <c r="L11" i="4"/>
  <c r="N11" i="4" s="1"/>
  <c r="M11" i="4"/>
  <c r="L10" i="4"/>
  <c r="N10" i="4" s="1"/>
  <c r="M10" i="4"/>
  <c r="L20" i="4"/>
  <c r="N20" i="4" s="1"/>
  <c r="M20" i="4"/>
  <c r="L6" i="4"/>
  <c r="N6" i="4" s="1"/>
  <c r="O6" i="12" s="1"/>
  <c r="P6" i="12" s="1"/>
  <c r="L6" i="13" s="1"/>
  <c r="M6" i="4"/>
  <c r="L8" i="4"/>
  <c r="N8" i="4" s="1"/>
  <c r="M8" i="4"/>
  <c r="L12" i="4"/>
  <c r="N12" i="4" s="1"/>
  <c r="M12" i="4"/>
  <c r="L18" i="4"/>
  <c r="N18" i="4" s="1"/>
  <c r="M18" i="4"/>
  <c r="L9" i="4"/>
  <c r="N9" i="4" s="1"/>
  <c r="M9" i="4"/>
  <c r="L21" i="4"/>
  <c r="N21" i="4" s="1"/>
  <c r="M21" i="4"/>
  <c r="G127" i="4"/>
  <c r="C129" i="5" s="1"/>
  <c r="R45" i="5"/>
  <c r="D47" i="28" s="1"/>
  <c r="T45" i="5"/>
  <c r="D49" i="31" s="1"/>
  <c r="R73" i="5"/>
  <c r="D77" i="28" s="1"/>
  <c r="T73" i="5"/>
  <c r="D80" i="31" s="1"/>
  <c r="R115" i="5"/>
  <c r="D124" i="28" s="1"/>
  <c r="T115" i="5"/>
  <c r="D127" i="31" s="1"/>
  <c r="R5" i="5"/>
  <c r="D4" i="28" s="1"/>
  <c r="T5" i="5"/>
  <c r="D5" i="31" s="1"/>
  <c r="R22" i="5"/>
  <c r="D21" i="28" s="1"/>
  <c r="T22" i="5"/>
  <c r="D22" i="31" s="1"/>
  <c r="R119" i="5"/>
  <c r="D128" i="28" s="1"/>
  <c r="T119" i="5"/>
  <c r="D131" i="31" s="1"/>
  <c r="R98" i="5"/>
  <c r="D104" i="28" s="1"/>
  <c r="T98" i="5"/>
  <c r="D107" i="31" s="1"/>
  <c r="R67" i="5"/>
  <c r="D71" i="28" s="1"/>
  <c r="T67" i="5"/>
  <c r="D74" i="31" s="1"/>
  <c r="R121" i="5"/>
  <c r="D130" i="28" s="1"/>
  <c r="T121" i="5"/>
  <c r="D133" i="31" s="1"/>
  <c r="R71" i="5"/>
  <c r="D75" i="28" s="1"/>
  <c r="T71" i="5"/>
  <c r="D78" i="31" s="1"/>
  <c r="R61" i="5"/>
  <c r="D65" i="28" s="1"/>
  <c r="T61" i="5"/>
  <c r="D68" i="31" s="1"/>
  <c r="R41" i="5"/>
  <c r="D43" i="28" s="1"/>
  <c r="T41" i="5"/>
  <c r="D45" i="31" s="1"/>
  <c r="R99" i="5"/>
  <c r="D105" i="28" s="1"/>
  <c r="T99" i="5"/>
  <c r="D108" i="31" s="1"/>
  <c r="R40" i="5"/>
  <c r="D42" i="28" s="1"/>
  <c r="T40" i="5"/>
  <c r="D44" i="31" s="1"/>
  <c r="R68" i="5"/>
  <c r="D72" i="28" s="1"/>
  <c r="T68" i="5"/>
  <c r="D75" i="31" s="1"/>
  <c r="R72" i="5"/>
  <c r="D76" i="28" s="1"/>
  <c r="T72" i="5"/>
  <c r="D79" i="31" s="1"/>
  <c r="R24" i="5"/>
  <c r="D23" i="28" s="1"/>
  <c r="T24" i="5"/>
  <c r="D24" i="31" s="1"/>
  <c r="R46" i="5"/>
  <c r="D48" i="28" s="1"/>
  <c r="T46" i="5"/>
  <c r="D50" i="31" s="1"/>
  <c r="R95" i="5"/>
  <c r="D101" i="28" s="1"/>
  <c r="T95" i="5"/>
  <c r="D104" i="31" s="1"/>
  <c r="R126" i="5"/>
  <c r="D135" i="28" s="1"/>
  <c r="T126" i="5"/>
  <c r="D138" i="31" s="1"/>
  <c r="R88" i="5"/>
  <c r="D94" i="28" s="1"/>
  <c r="T88" i="5"/>
  <c r="D97" i="31" s="1"/>
  <c r="R44" i="5"/>
  <c r="D46" i="28" s="1"/>
  <c r="T44" i="5"/>
  <c r="D48" i="31" s="1"/>
  <c r="R23" i="5"/>
  <c r="D22" i="28" s="1"/>
  <c r="T23" i="5"/>
  <c r="D23" i="31" s="1"/>
  <c r="R123" i="5"/>
  <c r="D132" i="28" s="1"/>
  <c r="T123" i="5"/>
  <c r="D135" i="31" s="1"/>
  <c r="R12" i="5"/>
  <c r="D11" i="28" s="1"/>
  <c r="T12" i="5"/>
  <c r="D12" i="31" s="1"/>
  <c r="R69" i="5"/>
  <c r="D73" i="28" s="1"/>
  <c r="T69" i="5"/>
  <c r="D76" i="31" s="1"/>
  <c r="R94" i="5"/>
  <c r="D100" i="28" s="1"/>
  <c r="T94" i="5"/>
  <c r="D103" i="31" s="1"/>
  <c r="R122" i="5"/>
  <c r="D131" i="28" s="1"/>
  <c r="T122" i="5"/>
  <c r="D134" i="31" s="1"/>
  <c r="R14" i="5"/>
  <c r="D13" i="28" s="1"/>
  <c r="T14" i="5"/>
  <c r="D14" i="31" s="1"/>
  <c r="R50" i="5"/>
  <c r="D52" i="28" s="1"/>
  <c r="T50" i="5"/>
  <c r="D54" i="31" s="1"/>
  <c r="R77" i="5"/>
  <c r="D81" i="28" s="1"/>
  <c r="T77" i="5"/>
  <c r="D84" i="31" s="1"/>
  <c r="R104" i="5"/>
  <c r="D110" i="28" s="1"/>
  <c r="T104" i="5"/>
  <c r="D113" i="31" s="1"/>
  <c r="R102" i="5"/>
  <c r="D108" i="28" s="1"/>
  <c r="T102" i="5"/>
  <c r="D111" i="31" s="1"/>
  <c r="R48" i="5"/>
  <c r="D50" i="28" s="1"/>
  <c r="T48" i="5"/>
  <c r="D52" i="31" s="1"/>
  <c r="R103" i="5"/>
  <c r="D109" i="28" s="1"/>
  <c r="T103" i="5"/>
  <c r="D112" i="31" s="1"/>
  <c r="H101" i="5"/>
  <c r="C107" i="28" s="1"/>
  <c r="J101" i="5"/>
  <c r="C110" i="31" s="1"/>
  <c r="R75" i="5"/>
  <c r="D79" i="28" s="1"/>
  <c r="T75" i="5"/>
  <c r="D82" i="31" s="1"/>
  <c r="R76" i="5"/>
  <c r="D80" i="28" s="1"/>
  <c r="T76" i="5"/>
  <c r="D83" i="31" s="1"/>
  <c r="R112" i="5"/>
  <c r="D121" i="28" s="1"/>
  <c r="T112" i="5"/>
  <c r="D124" i="31" s="1"/>
  <c r="R85" i="5"/>
  <c r="D91" i="28" s="1"/>
  <c r="T85" i="5"/>
  <c r="D94" i="31" s="1"/>
  <c r="R31" i="5"/>
  <c r="D33" i="28" s="1"/>
  <c r="T31" i="5"/>
  <c r="D35" i="31" s="1"/>
  <c r="D131" i="19"/>
  <c r="E99" i="5"/>
  <c r="D12" i="19"/>
  <c r="D80" i="19"/>
  <c r="D48" i="19"/>
  <c r="D22" i="19"/>
  <c r="D24" i="19"/>
  <c r="D14" i="19"/>
  <c r="L23" i="4"/>
  <c r="N23" i="4" s="1"/>
  <c r="L25" i="4"/>
  <c r="N25" i="4" s="1"/>
  <c r="E51" i="5"/>
  <c r="E44" i="5"/>
  <c r="O7" i="5"/>
  <c r="O21" i="5"/>
  <c r="E118" i="5"/>
  <c r="E130" i="5"/>
  <c r="O10" i="5"/>
  <c r="E72" i="5"/>
  <c r="O78" i="5"/>
  <c r="O101" i="5"/>
  <c r="E104" i="5"/>
  <c r="E69" i="5"/>
  <c r="E20" i="5"/>
  <c r="E61" i="5"/>
  <c r="E73" i="5"/>
  <c r="E119" i="5"/>
  <c r="O20" i="12"/>
  <c r="P20" i="12" s="1"/>
  <c r="L20" i="13" s="1"/>
  <c r="O20" i="13" s="1"/>
  <c r="P20" i="13" s="1"/>
  <c r="O97" i="5"/>
  <c r="O63" i="5"/>
  <c r="E71" i="5"/>
  <c r="O13" i="5"/>
  <c r="O11" i="5"/>
  <c r="E92" i="5"/>
  <c r="E19" i="5"/>
  <c r="E60" i="5"/>
  <c r="E78" i="5"/>
  <c r="E116" i="5"/>
  <c r="E85" i="5"/>
  <c r="E121" i="5"/>
  <c r="E47" i="5"/>
  <c r="C32" i="5"/>
  <c r="E32" i="5" s="1"/>
  <c r="G13" i="12"/>
  <c r="H13" i="12" s="1"/>
  <c r="C13" i="13" s="1"/>
  <c r="C90" i="5"/>
  <c r="E90" i="5" s="1"/>
  <c r="G27" i="12"/>
  <c r="H27" i="12" s="1"/>
  <c r="C27" i="13" s="1"/>
  <c r="O51" i="5"/>
  <c r="E34" i="5"/>
  <c r="E103" i="5"/>
  <c r="O6" i="13"/>
  <c r="P6" i="13" s="1"/>
  <c r="N6" i="13"/>
  <c r="R6" i="13" s="1"/>
  <c r="M6" i="16" s="1"/>
  <c r="O6" i="16" s="1"/>
  <c r="T6" i="16" s="1"/>
  <c r="E9" i="5"/>
  <c r="O6" i="5"/>
  <c r="E14" i="5"/>
  <c r="E86" i="5"/>
  <c r="O118" i="5"/>
  <c r="O26" i="13"/>
  <c r="P26" i="13" s="1"/>
  <c r="N26" i="13"/>
  <c r="R26" i="13" s="1"/>
  <c r="M26" i="16" s="1"/>
  <c r="O26" i="16" s="1"/>
  <c r="C31" i="5"/>
  <c r="E31" i="5" s="1"/>
  <c r="G12" i="12"/>
  <c r="G124" i="4"/>
  <c r="C126" i="5" s="1"/>
  <c r="E126" i="5" s="1"/>
  <c r="O25" i="5"/>
  <c r="E131" i="5"/>
  <c r="E46" i="5"/>
  <c r="E12" i="5"/>
  <c r="O36" i="5"/>
  <c r="E45" i="5"/>
  <c r="E11" i="5"/>
  <c r="O116" i="5"/>
  <c r="E105" i="5"/>
  <c r="E62" i="5"/>
  <c r="E5" i="5"/>
  <c r="E98" i="5"/>
  <c r="E36" i="5"/>
  <c r="E13" i="5"/>
  <c r="O64" i="5"/>
  <c r="O100" i="5"/>
  <c r="M60" i="5"/>
  <c r="O60" i="5" s="1"/>
  <c r="O21" i="12"/>
  <c r="P21" i="12" s="1"/>
  <c r="L21" i="13" s="1"/>
  <c r="O34" i="5"/>
  <c r="O12" i="13"/>
  <c r="P12" i="13" s="1"/>
  <c r="N12" i="13"/>
  <c r="R12" i="13" s="1"/>
  <c r="M12" i="16" s="1"/>
  <c r="O12" i="16" s="1"/>
  <c r="M86" i="5"/>
  <c r="O27" i="12"/>
  <c r="P27" i="12" s="1"/>
  <c r="L27" i="13" s="1"/>
  <c r="C112" i="5"/>
  <c r="E112" i="5" s="1"/>
  <c r="J112" i="5" s="1"/>
  <c r="C124" i="31" s="1"/>
  <c r="G33" i="12"/>
  <c r="H33" i="12" s="1"/>
  <c r="C33" i="13" s="1"/>
  <c r="C113" i="5"/>
  <c r="E113" i="5" s="1"/>
  <c r="G34" i="12"/>
  <c r="H34" i="12" s="1"/>
  <c r="C34" i="13" s="1"/>
  <c r="M58" i="5"/>
  <c r="O19" i="12"/>
  <c r="P19" i="12" s="1"/>
  <c r="L19" i="13" s="1"/>
  <c r="O105" i="5"/>
  <c r="E24" i="5"/>
  <c r="E96" i="5"/>
  <c r="E65" i="5"/>
  <c r="E23" i="5"/>
  <c r="E95" i="5"/>
  <c r="E64" i="5"/>
  <c r="O62" i="5"/>
  <c r="E17" i="5"/>
  <c r="E35" i="5"/>
  <c r="E48" i="5"/>
  <c r="E125" i="5"/>
  <c r="E63" i="5"/>
  <c r="E120" i="5"/>
  <c r="O37" i="5"/>
  <c r="O130" i="5"/>
  <c r="M32" i="5"/>
  <c r="O32" i="5" s="1"/>
  <c r="O13" i="12"/>
  <c r="P13" i="12" s="1"/>
  <c r="L13" i="13" s="1"/>
  <c r="O92" i="5"/>
  <c r="C114" i="5"/>
  <c r="E114" i="5" s="1"/>
  <c r="G35" i="12"/>
  <c r="H35" i="12" s="1"/>
  <c r="C35" i="13" s="1"/>
  <c r="O128" i="5"/>
  <c r="E77" i="5"/>
  <c r="E123" i="5"/>
  <c r="E38" i="5"/>
  <c r="O117" i="5"/>
  <c r="O124" i="5"/>
  <c r="E76" i="5"/>
  <c r="E122" i="5"/>
  <c r="E37" i="5"/>
  <c r="O35" i="5"/>
  <c r="E124" i="5"/>
  <c r="E75" i="5"/>
  <c r="E18" i="5"/>
  <c r="O120" i="5"/>
  <c r="E66" i="5"/>
  <c r="F5" i="13"/>
  <c r="G5" i="13" s="1"/>
  <c r="E5" i="13"/>
  <c r="I5" i="13" s="1"/>
  <c r="C5" i="16" s="1"/>
  <c r="O65" i="5"/>
  <c r="M33" i="5"/>
  <c r="O33" i="5" s="1"/>
  <c r="O14" i="12"/>
  <c r="P14" i="12" s="1"/>
  <c r="L14" i="13" s="1"/>
  <c r="M113" i="5"/>
  <c r="O113" i="5" s="1"/>
  <c r="O34" i="12"/>
  <c r="P34" i="12" s="1"/>
  <c r="L34" i="13" s="1"/>
  <c r="M87" i="5"/>
  <c r="O87" i="5" s="1"/>
  <c r="O28" i="12"/>
  <c r="P28" i="12" s="1"/>
  <c r="L28" i="13" s="1"/>
  <c r="C59" i="5"/>
  <c r="E59" i="5" s="1"/>
  <c r="G20" i="12"/>
  <c r="H20" i="12" s="1"/>
  <c r="C20" i="13" s="1"/>
  <c r="C6" i="5"/>
  <c r="G6" i="12"/>
  <c r="H6" i="12" s="1"/>
  <c r="C6" i="13" s="1"/>
  <c r="C89" i="5"/>
  <c r="E89" i="5" s="1"/>
  <c r="G26" i="12"/>
  <c r="O74" i="5"/>
  <c r="E50" i="5"/>
  <c r="E16" i="5"/>
  <c r="E88" i="5"/>
  <c r="O90" i="5"/>
  <c r="O5" i="13"/>
  <c r="P5" i="13" s="1"/>
  <c r="N5" i="13"/>
  <c r="R5" i="13" s="1"/>
  <c r="M5" i="16" s="1"/>
  <c r="O5" i="16" s="1"/>
  <c r="T5" i="16" s="1"/>
  <c r="O17" i="5"/>
  <c r="E49" i="5"/>
  <c r="E15" i="5"/>
  <c r="E87" i="5"/>
  <c r="O9" i="5"/>
  <c r="E70" i="5"/>
  <c r="O59" i="5"/>
  <c r="E102" i="5"/>
  <c r="E40" i="5"/>
  <c r="E117" i="5"/>
  <c r="O66" i="5"/>
  <c r="E21" i="5"/>
  <c r="E39" i="5"/>
  <c r="F26" i="13"/>
  <c r="G26" i="13" s="1"/>
  <c r="E26" i="13"/>
  <c r="I26" i="13" s="1"/>
  <c r="C26" i="16" s="1"/>
  <c r="E26" i="16" s="1"/>
  <c r="O49" i="5"/>
  <c r="F21" i="13"/>
  <c r="G21" i="13" s="1"/>
  <c r="E21" i="13"/>
  <c r="I21" i="13" s="1"/>
  <c r="C21" i="16" s="1"/>
  <c r="E21" i="16" s="1"/>
  <c r="O38" i="5"/>
  <c r="O8" i="5"/>
  <c r="C33" i="5"/>
  <c r="E33" i="5" s="1"/>
  <c r="G14" i="12"/>
  <c r="H14" i="12" s="1"/>
  <c r="C14" i="13" s="1"/>
  <c r="O47" i="5"/>
  <c r="E100" i="5"/>
  <c r="E115" i="5"/>
  <c r="O70" i="5"/>
  <c r="E68" i="5"/>
  <c r="O89" i="5"/>
  <c r="E132" i="5"/>
  <c r="E43" i="5"/>
  <c r="E129" i="5"/>
  <c r="E67" i="5"/>
  <c r="E10" i="5"/>
  <c r="O39" i="5"/>
  <c r="N7" i="13"/>
  <c r="R7" i="13" s="1"/>
  <c r="M7" i="16" s="1"/>
  <c r="O7" i="16" s="1"/>
  <c r="T7" i="16" s="1"/>
  <c r="O7" i="13"/>
  <c r="P7" i="13" s="1"/>
  <c r="E128" i="5"/>
  <c r="E93" i="5"/>
  <c r="C58" i="5"/>
  <c r="E58" i="5" s="1"/>
  <c r="G19" i="12"/>
  <c r="H19" i="12" s="1"/>
  <c r="C19" i="13" s="1"/>
  <c r="O131" i="5"/>
  <c r="O19" i="5"/>
  <c r="O33" i="13"/>
  <c r="P33" i="13" s="1"/>
  <c r="N33" i="13"/>
  <c r="R33" i="13" s="1"/>
  <c r="M33" i="16" s="1"/>
  <c r="O33" i="16" s="1"/>
  <c r="O96" i="5"/>
  <c r="C91" i="5"/>
  <c r="E91" i="5" s="1"/>
  <c r="G28" i="12"/>
  <c r="H28" i="12" s="1"/>
  <c r="C28" i="13" s="1"/>
  <c r="M114" i="5"/>
  <c r="O35" i="12"/>
  <c r="P35" i="12" s="1"/>
  <c r="L35" i="13" s="1"/>
  <c r="O132" i="5"/>
  <c r="E42" i="5"/>
  <c r="E8" i="5"/>
  <c r="O43" i="5"/>
  <c r="E41" i="5"/>
  <c r="E7" i="5"/>
  <c r="E25" i="5"/>
  <c r="E97" i="5"/>
  <c r="E22" i="5"/>
  <c r="E94" i="5"/>
  <c r="O93" i="5"/>
  <c r="E74" i="5"/>
  <c r="O91" i="5"/>
  <c r="F7" i="13"/>
  <c r="G7" i="13" s="1"/>
  <c r="E7" i="13"/>
  <c r="I7" i="13" s="1"/>
  <c r="C7" i="16" s="1"/>
  <c r="E7" i="16" s="1"/>
  <c r="O129" i="5"/>
  <c r="O15" i="5"/>
  <c r="O18" i="5"/>
  <c r="O42" i="5"/>
  <c r="O20" i="5"/>
  <c r="O16" i="5"/>
  <c r="N125" i="4"/>
  <c r="M127" i="5" s="1"/>
  <c r="O127" i="5" s="1"/>
  <c r="L15" i="4"/>
  <c r="N15" i="4" s="1"/>
  <c r="L24" i="4"/>
  <c r="N24" i="4" s="1"/>
  <c r="G125" i="4"/>
  <c r="C127" i="5" s="1"/>
  <c r="E127" i="5" s="1"/>
  <c r="N123" i="4"/>
  <c r="M125" i="5" s="1"/>
  <c r="O125" i="5" s="1"/>
  <c r="H5" i="5" l="1"/>
  <c r="J5" i="5"/>
  <c r="C5" i="31" s="1"/>
  <c r="E5" i="31" s="1"/>
  <c r="E124" i="31"/>
  <c r="D109" i="19"/>
  <c r="D95" i="19"/>
  <c r="D106" i="19"/>
  <c r="D78" i="19"/>
  <c r="D125" i="19"/>
  <c r="D49" i="19"/>
  <c r="D76" i="19"/>
  <c r="D53" i="19"/>
  <c r="D105" i="19"/>
  <c r="D81" i="19"/>
  <c r="D92" i="19"/>
  <c r="D136" i="19"/>
  <c r="D74" i="19"/>
  <c r="D43" i="19"/>
  <c r="D66" i="19"/>
  <c r="D102" i="19"/>
  <c r="D47" i="19"/>
  <c r="D51" i="19"/>
  <c r="D72" i="19"/>
  <c r="D73" i="19"/>
  <c r="H94" i="5"/>
  <c r="C100" i="28" s="1"/>
  <c r="E100" i="28" s="1"/>
  <c r="F100" i="28" s="1"/>
  <c r="J94" i="5"/>
  <c r="C103" i="31" s="1"/>
  <c r="E103" i="31" s="1"/>
  <c r="F103" i="31" s="1"/>
  <c r="R13" i="5"/>
  <c r="D12" i="28" s="1"/>
  <c r="T13" i="5"/>
  <c r="D13" i="31" s="1"/>
  <c r="D134" i="22"/>
  <c r="D74" i="22"/>
  <c r="R38" i="5"/>
  <c r="D40" i="28" s="1"/>
  <c r="T38" i="5"/>
  <c r="D42" i="31" s="1"/>
  <c r="H95" i="5"/>
  <c r="C101" i="28" s="1"/>
  <c r="J95" i="5"/>
  <c r="C104" i="31" s="1"/>
  <c r="E104" i="31" s="1"/>
  <c r="F104" i="31" s="1"/>
  <c r="H34" i="5"/>
  <c r="C36" i="28" s="1"/>
  <c r="J34" i="5"/>
  <c r="C38" i="31" s="1"/>
  <c r="H122" i="5"/>
  <c r="C131" i="28" s="1"/>
  <c r="E131" i="28" s="1"/>
  <c r="F131" i="28" s="1"/>
  <c r="J122" i="5"/>
  <c r="C134" i="31" s="1"/>
  <c r="E134" i="31" s="1"/>
  <c r="H63" i="5"/>
  <c r="C67" i="28" s="1"/>
  <c r="J63" i="5"/>
  <c r="C70" i="31" s="1"/>
  <c r="H62" i="5"/>
  <c r="C66" i="28" s="1"/>
  <c r="J62" i="5"/>
  <c r="C69" i="31" s="1"/>
  <c r="H116" i="5"/>
  <c r="C125" i="28" s="1"/>
  <c r="J116" i="5"/>
  <c r="C128" i="31" s="1"/>
  <c r="H20" i="5"/>
  <c r="C19" i="28" s="1"/>
  <c r="J20" i="5"/>
  <c r="C20" i="31" s="1"/>
  <c r="H72" i="5"/>
  <c r="C76" i="28" s="1"/>
  <c r="E76" i="28" s="1"/>
  <c r="F76" i="28" s="1"/>
  <c r="J72" i="5"/>
  <c r="C79" i="31" s="1"/>
  <c r="E79" i="31" s="1"/>
  <c r="F79" i="31" s="1"/>
  <c r="D103" i="22"/>
  <c r="D23" i="22"/>
  <c r="D104" i="22"/>
  <c r="D75" i="22"/>
  <c r="D68" i="22"/>
  <c r="D107" i="22"/>
  <c r="D127" i="22"/>
  <c r="R65" i="5"/>
  <c r="D69" i="28" s="1"/>
  <c r="T65" i="5"/>
  <c r="D72" i="31" s="1"/>
  <c r="H73" i="5"/>
  <c r="C77" i="28" s="1"/>
  <c r="E77" i="28" s="1"/>
  <c r="F77" i="28" s="1"/>
  <c r="J73" i="5"/>
  <c r="C80" i="31" s="1"/>
  <c r="E80" i="31" s="1"/>
  <c r="F80" i="31" s="1"/>
  <c r="D5" i="22"/>
  <c r="R70" i="5"/>
  <c r="D74" i="28" s="1"/>
  <c r="T70" i="5"/>
  <c r="D77" i="31" s="1"/>
  <c r="H15" i="5"/>
  <c r="C14" i="28" s="1"/>
  <c r="J15" i="5"/>
  <c r="C15" i="31" s="1"/>
  <c r="H46" i="5"/>
  <c r="C48" i="28" s="1"/>
  <c r="E48" i="28" s="1"/>
  <c r="J46" i="5"/>
  <c r="C50" i="31" s="1"/>
  <c r="E50" i="31" s="1"/>
  <c r="F50" i="31" s="1"/>
  <c r="H44" i="5"/>
  <c r="C46" i="28" s="1"/>
  <c r="E46" i="28" s="1"/>
  <c r="F46" i="28" s="1"/>
  <c r="J44" i="5"/>
  <c r="C48" i="31" s="1"/>
  <c r="H127" i="5"/>
  <c r="C136" i="28" s="1"/>
  <c r="J127" i="5"/>
  <c r="C139" i="31" s="1"/>
  <c r="H97" i="5"/>
  <c r="C103" i="28" s="1"/>
  <c r="J97" i="5"/>
  <c r="C106" i="31" s="1"/>
  <c r="H40" i="5"/>
  <c r="C42" i="28" s="1"/>
  <c r="J40" i="5"/>
  <c r="C44" i="31" s="1"/>
  <c r="H66" i="5"/>
  <c r="C70" i="28" s="1"/>
  <c r="J66" i="5"/>
  <c r="C73" i="31" s="1"/>
  <c r="R25" i="5"/>
  <c r="D24" i="28" s="1"/>
  <c r="T25" i="5"/>
  <c r="D25" i="31" s="1"/>
  <c r="H14" i="5"/>
  <c r="C13" i="28" s="1"/>
  <c r="J14" i="5"/>
  <c r="C14" i="31" s="1"/>
  <c r="E14" i="31" s="1"/>
  <c r="H69" i="5"/>
  <c r="C73" i="28" s="1"/>
  <c r="J69" i="5"/>
  <c r="C76" i="31" s="1"/>
  <c r="R10" i="5"/>
  <c r="D9" i="28" s="1"/>
  <c r="T10" i="5"/>
  <c r="D10" i="31" s="1"/>
  <c r="D44" i="19"/>
  <c r="H99" i="5"/>
  <c r="C105" i="28" s="1"/>
  <c r="E105" i="28" s="1"/>
  <c r="F105" i="28" s="1"/>
  <c r="J99" i="5"/>
  <c r="C108" i="31" s="1"/>
  <c r="E108" i="31" s="1"/>
  <c r="F108" i="31" s="1"/>
  <c r="R8" i="5"/>
  <c r="D7" i="28" s="1"/>
  <c r="T8" i="5"/>
  <c r="D8" i="31" s="1"/>
  <c r="H16" i="5"/>
  <c r="C15" i="28" s="1"/>
  <c r="J16" i="5"/>
  <c r="C16" i="31" s="1"/>
  <c r="R35" i="5"/>
  <c r="D37" i="28" s="1"/>
  <c r="T35" i="5"/>
  <c r="D39" i="31" s="1"/>
  <c r="R37" i="5"/>
  <c r="D39" i="28" s="1"/>
  <c r="T37" i="5"/>
  <c r="D41" i="31" s="1"/>
  <c r="H12" i="5"/>
  <c r="C11" i="28" s="1"/>
  <c r="E11" i="28" s="1"/>
  <c r="F11" i="28" s="1"/>
  <c r="J12" i="5"/>
  <c r="C12" i="31" s="1"/>
  <c r="D135" i="22"/>
  <c r="D45" i="22"/>
  <c r="R15" i="5"/>
  <c r="D14" i="28" s="1"/>
  <c r="T15" i="5"/>
  <c r="D15" i="31" s="1"/>
  <c r="R39" i="5"/>
  <c r="D41" i="28" s="1"/>
  <c r="T39" i="5"/>
  <c r="D43" i="31" s="1"/>
  <c r="H120" i="5"/>
  <c r="C129" i="28" s="1"/>
  <c r="J120" i="5"/>
  <c r="C132" i="31" s="1"/>
  <c r="R118" i="5"/>
  <c r="D127" i="28" s="1"/>
  <c r="T118" i="5"/>
  <c r="D130" i="31" s="1"/>
  <c r="R17" i="5"/>
  <c r="D16" i="28" s="1"/>
  <c r="T17" i="5"/>
  <c r="D17" i="31" s="1"/>
  <c r="H89" i="5"/>
  <c r="C95" i="28" s="1"/>
  <c r="J89" i="5"/>
  <c r="C98" i="31" s="1"/>
  <c r="R120" i="5"/>
  <c r="D129" i="28" s="1"/>
  <c r="T120" i="5"/>
  <c r="D132" i="31" s="1"/>
  <c r="R124" i="5"/>
  <c r="D133" i="28" s="1"/>
  <c r="T124" i="5"/>
  <c r="D136" i="31" s="1"/>
  <c r="R92" i="5"/>
  <c r="D98" i="28" s="1"/>
  <c r="T92" i="5"/>
  <c r="D101" i="31" s="1"/>
  <c r="H96" i="5"/>
  <c r="C102" i="28" s="1"/>
  <c r="J96" i="5"/>
  <c r="C105" i="31" s="1"/>
  <c r="R100" i="5"/>
  <c r="D106" i="28" s="1"/>
  <c r="T100" i="5"/>
  <c r="D109" i="31" s="1"/>
  <c r="R116" i="5"/>
  <c r="D125" i="28" s="1"/>
  <c r="T116" i="5"/>
  <c r="D128" i="31" s="1"/>
  <c r="H126" i="5"/>
  <c r="C135" i="28" s="1"/>
  <c r="J126" i="5"/>
  <c r="C138" i="31" s="1"/>
  <c r="E138" i="31" s="1"/>
  <c r="F138" i="31" s="1"/>
  <c r="R6" i="5"/>
  <c r="D5" i="28" s="1"/>
  <c r="T6" i="5"/>
  <c r="D6" i="31" s="1"/>
  <c r="H90" i="5"/>
  <c r="C96" i="28" s="1"/>
  <c r="J90" i="5"/>
  <c r="C99" i="31" s="1"/>
  <c r="R63" i="5"/>
  <c r="D67" i="28" s="1"/>
  <c r="T63" i="5"/>
  <c r="D70" i="31" s="1"/>
  <c r="D23" i="19"/>
  <c r="D77" i="19"/>
  <c r="D133" i="19"/>
  <c r="D76" i="22"/>
  <c r="D48" i="22"/>
  <c r="D50" i="22"/>
  <c r="D44" i="22"/>
  <c r="D78" i="22"/>
  <c r="D131" i="22"/>
  <c r="D80" i="22"/>
  <c r="R18" i="5"/>
  <c r="D17" i="28" s="1"/>
  <c r="T18" i="5"/>
  <c r="D18" i="31" s="1"/>
  <c r="H68" i="5"/>
  <c r="C72" i="28" s="1"/>
  <c r="E72" i="28" s="1"/>
  <c r="F72" i="28" s="1"/>
  <c r="J68" i="5"/>
  <c r="C75" i="31" s="1"/>
  <c r="H64" i="5"/>
  <c r="C68" i="28" s="1"/>
  <c r="J64" i="5"/>
  <c r="C71" i="31" s="1"/>
  <c r="R125" i="5"/>
  <c r="D134" i="28" s="1"/>
  <c r="T125" i="5"/>
  <c r="D137" i="31" s="1"/>
  <c r="H71" i="5"/>
  <c r="C75" i="28" s="1"/>
  <c r="E75" i="28" s="1"/>
  <c r="F75" i="28" s="1"/>
  <c r="J71" i="5"/>
  <c r="C78" i="31" s="1"/>
  <c r="E78" i="31" s="1"/>
  <c r="F78" i="31" s="1"/>
  <c r="H10" i="5"/>
  <c r="C9" i="28" s="1"/>
  <c r="J10" i="5"/>
  <c r="C10" i="31" s="1"/>
  <c r="H125" i="5"/>
  <c r="C134" i="28" s="1"/>
  <c r="J125" i="5"/>
  <c r="C137" i="31" s="1"/>
  <c r="R64" i="5"/>
  <c r="D68" i="28" s="1"/>
  <c r="T64" i="5"/>
  <c r="D71" i="31" s="1"/>
  <c r="H11" i="5"/>
  <c r="C10" i="28" s="1"/>
  <c r="J11" i="5"/>
  <c r="C11" i="31" s="1"/>
  <c r="H9" i="5"/>
  <c r="C8" i="28" s="1"/>
  <c r="J9" i="5"/>
  <c r="C9" i="31" s="1"/>
  <c r="H19" i="5"/>
  <c r="C18" i="28" s="1"/>
  <c r="J19" i="5"/>
  <c r="C19" i="31" s="1"/>
  <c r="R97" i="5"/>
  <c r="D103" i="28" s="1"/>
  <c r="T97" i="5"/>
  <c r="D106" i="31" s="1"/>
  <c r="D122" i="19"/>
  <c r="H42" i="5"/>
  <c r="C44" i="28" s="1"/>
  <c r="J42" i="5"/>
  <c r="C46" i="31" s="1"/>
  <c r="R7" i="5"/>
  <c r="D6" i="28" s="1"/>
  <c r="T7" i="5"/>
  <c r="D7" i="31" s="1"/>
  <c r="D79" i="22"/>
  <c r="R34" i="5"/>
  <c r="D36" i="28" s="1"/>
  <c r="T34" i="5"/>
  <c r="D38" i="31" s="1"/>
  <c r="H61" i="5"/>
  <c r="C65" i="28" s="1"/>
  <c r="E65" i="28" s="1"/>
  <c r="F65" i="28" s="1"/>
  <c r="J61" i="5"/>
  <c r="C68" i="31" s="1"/>
  <c r="H67" i="5"/>
  <c r="C71" i="28" s="1"/>
  <c r="E71" i="28" s="1"/>
  <c r="F71" i="28" s="1"/>
  <c r="J67" i="5"/>
  <c r="C74" i="31" s="1"/>
  <c r="H65" i="5"/>
  <c r="C69" i="28" s="1"/>
  <c r="E69" i="28" s="1"/>
  <c r="F69" i="28" s="1"/>
  <c r="J65" i="5"/>
  <c r="C72" i="31" s="1"/>
  <c r="E72" i="31" s="1"/>
  <c r="F72" i="31" s="1"/>
  <c r="R16" i="5"/>
  <c r="D15" i="28" s="1"/>
  <c r="T16" i="5"/>
  <c r="D16" i="31" s="1"/>
  <c r="H41" i="5"/>
  <c r="C43" i="28" s="1"/>
  <c r="J41" i="5"/>
  <c r="C45" i="31" s="1"/>
  <c r="H93" i="5"/>
  <c r="C99" i="28" s="1"/>
  <c r="J93" i="5"/>
  <c r="C102" i="31" s="1"/>
  <c r="H35" i="5"/>
  <c r="C37" i="28" s="1"/>
  <c r="E37" i="28" s="1"/>
  <c r="F37" i="28" s="1"/>
  <c r="J35" i="5"/>
  <c r="C39" i="31" s="1"/>
  <c r="R96" i="5"/>
  <c r="D102" i="28" s="1"/>
  <c r="T96" i="5"/>
  <c r="D105" i="31" s="1"/>
  <c r="H45" i="5"/>
  <c r="C47" i="28" s="1"/>
  <c r="J45" i="5"/>
  <c r="C49" i="31" s="1"/>
  <c r="H92" i="5"/>
  <c r="C98" i="28" s="1"/>
  <c r="J92" i="5"/>
  <c r="C101" i="31" s="1"/>
  <c r="D82" i="19"/>
  <c r="D14" i="22"/>
  <c r="D12" i="22"/>
  <c r="D97" i="22"/>
  <c r="D24" i="22"/>
  <c r="D108" i="22"/>
  <c r="D133" i="22"/>
  <c r="D22" i="22"/>
  <c r="D49" i="22"/>
  <c r="H98" i="5"/>
  <c r="C104" i="28" s="1"/>
  <c r="E104" i="28" s="1"/>
  <c r="F104" i="28" s="1"/>
  <c r="J98" i="5"/>
  <c r="C107" i="31" s="1"/>
  <c r="E107" i="31" s="1"/>
  <c r="F107" i="31" s="1"/>
  <c r="H121" i="5"/>
  <c r="C130" i="28" s="1"/>
  <c r="E130" i="28" s="1"/>
  <c r="F130" i="28" s="1"/>
  <c r="J121" i="5"/>
  <c r="C133" i="31" s="1"/>
  <c r="D138" i="22"/>
  <c r="R127" i="5"/>
  <c r="D136" i="28" s="1"/>
  <c r="T127" i="5"/>
  <c r="D139" i="31" s="1"/>
  <c r="R19" i="5"/>
  <c r="D18" i="28" s="1"/>
  <c r="E18" i="28" s="1"/>
  <c r="T19" i="5"/>
  <c r="D19" i="31" s="1"/>
  <c r="R66" i="5"/>
  <c r="D70" i="28" s="1"/>
  <c r="T66" i="5"/>
  <c r="D73" i="31" s="1"/>
  <c r="H37" i="5"/>
  <c r="C39" i="28" s="1"/>
  <c r="E39" i="28" s="1"/>
  <c r="F39" i="28" s="1"/>
  <c r="J37" i="5"/>
  <c r="C41" i="31" s="1"/>
  <c r="E41" i="31" s="1"/>
  <c r="H115" i="5"/>
  <c r="C124" i="28" s="1"/>
  <c r="J115" i="5"/>
  <c r="C127" i="31" s="1"/>
  <c r="E127" i="31" s="1"/>
  <c r="F127" i="31" s="1"/>
  <c r="H117" i="5"/>
  <c r="C126" i="28" s="1"/>
  <c r="J117" i="5"/>
  <c r="C129" i="31" s="1"/>
  <c r="H100" i="5"/>
  <c r="C106" i="28" s="1"/>
  <c r="J100" i="5"/>
  <c r="C109" i="31" s="1"/>
  <c r="E109" i="31" s="1"/>
  <c r="F109" i="31" s="1"/>
  <c r="R91" i="5"/>
  <c r="D97" i="28" s="1"/>
  <c r="T91" i="5"/>
  <c r="D100" i="31" s="1"/>
  <c r="H91" i="5"/>
  <c r="C97" i="28" s="1"/>
  <c r="J91" i="5"/>
  <c r="C100" i="31" s="1"/>
  <c r="H43" i="5"/>
  <c r="C45" i="28" s="1"/>
  <c r="J43" i="5"/>
  <c r="C47" i="31" s="1"/>
  <c r="H18" i="5"/>
  <c r="C17" i="28" s="1"/>
  <c r="J18" i="5"/>
  <c r="C18" i="31" s="1"/>
  <c r="R117" i="5"/>
  <c r="D126" i="28" s="1"/>
  <c r="T117" i="5"/>
  <c r="D129" i="31" s="1"/>
  <c r="R20" i="5"/>
  <c r="D19" i="28" s="1"/>
  <c r="T20" i="5"/>
  <c r="D20" i="31" s="1"/>
  <c r="R43" i="5"/>
  <c r="D45" i="28" s="1"/>
  <c r="T43" i="5"/>
  <c r="D47" i="31" s="1"/>
  <c r="H70" i="5"/>
  <c r="C74" i="28" s="1"/>
  <c r="J70" i="5"/>
  <c r="C77" i="31" s="1"/>
  <c r="R90" i="5"/>
  <c r="D96" i="28" s="1"/>
  <c r="T90" i="5"/>
  <c r="D99" i="31" s="1"/>
  <c r="H38" i="5"/>
  <c r="C40" i="28" s="1"/>
  <c r="J38" i="5"/>
  <c r="C42" i="31" s="1"/>
  <c r="E42" i="31" s="1"/>
  <c r="F42" i="31" s="1"/>
  <c r="H17" i="5"/>
  <c r="C16" i="28" s="1"/>
  <c r="E16" i="28" s="1"/>
  <c r="F16" i="28" s="1"/>
  <c r="J17" i="5"/>
  <c r="C17" i="31" s="1"/>
  <c r="H13" i="5"/>
  <c r="C12" i="28" s="1"/>
  <c r="E12" i="28" s="1"/>
  <c r="J13" i="5"/>
  <c r="C13" i="31" s="1"/>
  <c r="H118" i="5"/>
  <c r="C127" i="28" s="1"/>
  <c r="J118" i="5"/>
  <c r="C130" i="31" s="1"/>
  <c r="E130" i="31" s="1"/>
  <c r="F130" i="31" s="1"/>
  <c r="R42" i="5"/>
  <c r="D44" i="28" s="1"/>
  <c r="T42" i="5"/>
  <c r="D46" i="31" s="1"/>
  <c r="E46" i="31" s="1"/>
  <c r="R93" i="5"/>
  <c r="D99" i="28" s="1"/>
  <c r="T93" i="5"/>
  <c r="D102" i="31" s="1"/>
  <c r="H8" i="5"/>
  <c r="C7" i="28" s="1"/>
  <c r="E7" i="28" s="1"/>
  <c r="F7" i="28" s="1"/>
  <c r="J8" i="5"/>
  <c r="C8" i="31" s="1"/>
  <c r="E8" i="31" s="1"/>
  <c r="F8" i="31" s="1"/>
  <c r="R89" i="5"/>
  <c r="D95" i="28" s="1"/>
  <c r="T89" i="5"/>
  <c r="D98" i="31" s="1"/>
  <c r="H39" i="5"/>
  <c r="C41" i="28" s="1"/>
  <c r="J39" i="5"/>
  <c r="C43" i="31" s="1"/>
  <c r="R9" i="5"/>
  <c r="D8" i="28" s="1"/>
  <c r="T9" i="5"/>
  <c r="D9" i="31" s="1"/>
  <c r="H88" i="5"/>
  <c r="C94" i="28" s="1"/>
  <c r="E94" i="28" s="1"/>
  <c r="F94" i="28" s="1"/>
  <c r="J88" i="5"/>
  <c r="C97" i="31" s="1"/>
  <c r="E97" i="31" s="1"/>
  <c r="H124" i="5"/>
  <c r="C133" i="28" s="1"/>
  <c r="E133" i="28" s="1"/>
  <c r="F133" i="28" s="1"/>
  <c r="J124" i="5"/>
  <c r="C136" i="31" s="1"/>
  <c r="H123" i="5"/>
  <c r="C132" i="28" s="1"/>
  <c r="J123" i="5"/>
  <c r="C135" i="31" s="1"/>
  <c r="E135" i="31" s="1"/>
  <c r="F135" i="31" s="1"/>
  <c r="R62" i="5"/>
  <c r="D66" i="28" s="1"/>
  <c r="T62" i="5"/>
  <c r="D69" i="31" s="1"/>
  <c r="H36" i="5"/>
  <c r="C38" i="28" s="1"/>
  <c r="J36" i="5"/>
  <c r="C40" i="31" s="1"/>
  <c r="R36" i="5"/>
  <c r="D38" i="28" s="1"/>
  <c r="T36" i="5"/>
  <c r="D40" i="31" s="1"/>
  <c r="R11" i="5"/>
  <c r="D10" i="28" s="1"/>
  <c r="T11" i="5"/>
  <c r="D11" i="31" s="1"/>
  <c r="H119" i="5"/>
  <c r="C128" i="28" s="1"/>
  <c r="E128" i="28" s="1"/>
  <c r="F128" i="28" s="1"/>
  <c r="J119" i="5"/>
  <c r="C131" i="31" s="1"/>
  <c r="R21" i="5"/>
  <c r="D20" i="28" s="1"/>
  <c r="T21" i="5"/>
  <c r="D21" i="31" s="1"/>
  <c r="D132" i="19"/>
  <c r="D101" i="19"/>
  <c r="D5" i="19"/>
  <c r="D129" i="19"/>
  <c r="R105" i="5"/>
  <c r="D111" i="28" s="1"/>
  <c r="T105" i="5"/>
  <c r="D114" i="31" s="1"/>
  <c r="R78" i="5"/>
  <c r="D82" i="28" s="1"/>
  <c r="T78" i="5"/>
  <c r="D85" i="31" s="1"/>
  <c r="R51" i="5"/>
  <c r="D53" i="28" s="1"/>
  <c r="T51" i="5"/>
  <c r="D55" i="31" s="1"/>
  <c r="H25" i="5"/>
  <c r="C24" i="28" s="1"/>
  <c r="J25" i="5"/>
  <c r="C25" i="31" s="1"/>
  <c r="H105" i="5"/>
  <c r="C111" i="28" s="1"/>
  <c r="E111" i="28" s="1"/>
  <c r="F111" i="28" s="1"/>
  <c r="J105" i="5"/>
  <c r="C114" i="31" s="1"/>
  <c r="H78" i="5"/>
  <c r="C82" i="28" s="1"/>
  <c r="E82" i="28" s="1"/>
  <c r="F82" i="28" s="1"/>
  <c r="J78" i="5"/>
  <c r="C85" i="31" s="1"/>
  <c r="H51" i="5"/>
  <c r="C53" i="28" s="1"/>
  <c r="E53" i="28" s="1"/>
  <c r="F53" i="28" s="1"/>
  <c r="J51" i="5"/>
  <c r="C55" i="31" s="1"/>
  <c r="H77" i="5"/>
  <c r="C81" i="28" s="1"/>
  <c r="E81" i="28" s="1"/>
  <c r="F81" i="28" s="1"/>
  <c r="J77" i="5"/>
  <c r="C84" i="31" s="1"/>
  <c r="H50" i="5"/>
  <c r="C52" i="28" s="1"/>
  <c r="J50" i="5"/>
  <c r="C54" i="31" s="1"/>
  <c r="E54" i="31" s="1"/>
  <c r="F54" i="31" s="1"/>
  <c r="D84" i="22"/>
  <c r="H24" i="5"/>
  <c r="C23" i="28" s="1"/>
  <c r="E23" i="28" s="1"/>
  <c r="J24" i="5"/>
  <c r="C24" i="31" s="1"/>
  <c r="E24" i="31" s="1"/>
  <c r="F24" i="31" s="1"/>
  <c r="H104" i="5"/>
  <c r="C110" i="28" s="1"/>
  <c r="E110" i="28" s="1"/>
  <c r="F110" i="28" s="1"/>
  <c r="J104" i="5"/>
  <c r="C113" i="31" s="1"/>
  <c r="E113" i="31" s="1"/>
  <c r="D54" i="22"/>
  <c r="D113" i="22"/>
  <c r="D111" i="19"/>
  <c r="H132" i="5"/>
  <c r="C141" i="28" s="1"/>
  <c r="J132" i="5"/>
  <c r="C144" i="31" s="1"/>
  <c r="R132" i="5"/>
  <c r="D141" i="28" s="1"/>
  <c r="T132" i="5"/>
  <c r="D144" i="31" s="1"/>
  <c r="R131" i="5"/>
  <c r="D140" i="28" s="1"/>
  <c r="T131" i="5"/>
  <c r="D143" i="31" s="1"/>
  <c r="H131" i="5"/>
  <c r="C140" i="28" s="1"/>
  <c r="J131" i="5"/>
  <c r="C143" i="31" s="1"/>
  <c r="E143" i="31" s="1"/>
  <c r="F143" i="31" s="1"/>
  <c r="H129" i="5"/>
  <c r="C138" i="28" s="1"/>
  <c r="J129" i="5"/>
  <c r="C141" i="31" s="1"/>
  <c r="H74" i="5"/>
  <c r="C78" i="28" s="1"/>
  <c r="J74" i="5"/>
  <c r="C81" i="31" s="1"/>
  <c r="H76" i="5"/>
  <c r="C80" i="28" s="1"/>
  <c r="E80" i="28" s="1"/>
  <c r="F80" i="28" s="1"/>
  <c r="J76" i="5"/>
  <c r="C83" i="31" s="1"/>
  <c r="R49" i="5"/>
  <c r="D51" i="28" s="1"/>
  <c r="T49" i="5"/>
  <c r="D53" i="31" s="1"/>
  <c r="R47" i="5"/>
  <c r="D49" i="28" s="1"/>
  <c r="T47" i="5"/>
  <c r="D51" i="31" s="1"/>
  <c r="H48" i="5"/>
  <c r="C50" i="28" s="1"/>
  <c r="J48" i="5"/>
  <c r="C52" i="31" s="1"/>
  <c r="C110" i="22"/>
  <c r="H102" i="5"/>
  <c r="C108" i="28" s="1"/>
  <c r="J102" i="5"/>
  <c r="C111" i="31" s="1"/>
  <c r="E111" i="31" s="1"/>
  <c r="F111" i="31" s="1"/>
  <c r="H130" i="5"/>
  <c r="C139" i="28" s="1"/>
  <c r="J130" i="5"/>
  <c r="C142" i="31" s="1"/>
  <c r="C108" i="19"/>
  <c r="D112" i="22"/>
  <c r="H128" i="5"/>
  <c r="C137" i="28" s="1"/>
  <c r="J128" i="5"/>
  <c r="C140" i="31" s="1"/>
  <c r="H75" i="5"/>
  <c r="C79" i="28" s="1"/>
  <c r="E79" i="28" s="1"/>
  <c r="F79" i="28" s="1"/>
  <c r="J75" i="5"/>
  <c r="C82" i="31" s="1"/>
  <c r="E82" i="31" s="1"/>
  <c r="F82" i="31" s="1"/>
  <c r="R130" i="5"/>
  <c r="D139" i="28" s="1"/>
  <c r="T130" i="5"/>
  <c r="D142" i="31" s="1"/>
  <c r="H47" i="5"/>
  <c r="C49" i="28" s="1"/>
  <c r="E49" i="28" s="1"/>
  <c r="F49" i="28" s="1"/>
  <c r="J47" i="5"/>
  <c r="C51" i="31" s="1"/>
  <c r="E51" i="31" s="1"/>
  <c r="F51" i="31" s="1"/>
  <c r="R101" i="5"/>
  <c r="D107" i="28" s="1"/>
  <c r="E107" i="28" s="1"/>
  <c r="F107" i="28" s="1"/>
  <c r="T101" i="5"/>
  <c r="D110" i="31" s="1"/>
  <c r="D110" i="19"/>
  <c r="D83" i="22"/>
  <c r="D52" i="22"/>
  <c r="H21" i="5"/>
  <c r="C20" i="28" s="1"/>
  <c r="E20" i="28" s="1"/>
  <c r="F20" i="28" s="1"/>
  <c r="J21" i="5"/>
  <c r="C21" i="31" s="1"/>
  <c r="H103" i="5"/>
  <c r="C109" i="28" s="1"/>
  <c r="J103" i="5"/>
  <c r="C112" i="31" s="1"/>
  <c r="E112" i="31" s="1"/>
  <c r="F112" i="31" s="1"/>
  <c r="H22" i="5"/>
  <c r="C21" i="28" s="1"/>
  <c r="J22" i="5"/>
  <c r="C22" i="31" s="1"/>
  <c r="E22" i="31" s="1"/>
  <c r="R128" i="5"/>
  <c r="D137" i="28" s="1"/>
  <c r="T128" i="5"/>
  <c r="D140" i="31" s="1"/>
  <c r="D82" i="22"/>
  <c r="D111" i="22"/>
  <c r="R129" i="5"/>
  <c r="D138" i="28" s="1"/>
  <c r="T129" i="5"/>
  <c r="D141" i="31" s="1"/>
  <c r="H49" i="5"/>
  <c r="C51" i="28" s="1"/>
  <c r="J49" i="5"/>
  <c r="C53" i="31" s="1"/>
  <c r="R74" i="5"/>
  <c r="D78" i="28" s="1"/>
  <c r="T74" i="5"/>
  <c r="D81" i="31" s="1"/>
  <c r="H23" i="5"/>
  <c r="C22" i="28" s="1"/>
  <c r="J23" i="5"/>
  <c r="C23" i="31" s="1"/>
  <c r="E23" i="31" s="1"/>
  <c r="F23" i="31" s="1"/>
  <c r="R7" i="16"/>
  <c r="D6" i="24" s="1"/>
  <c r="D6" i="15"/>
  <c r="C5" i="22"/>
  <c r="H85" i="5"/>
  <c r="C91" i="28" s="1"/>
  <c r="E91" i="28" s="1"/>
  <c r="J85" i="5"/>
  <c r="C94" i="31" s="1"/>
  <c r="E94" i="31" s="1"/>
  <c r="H87" i="5"/>
  <c r="C93" i="28" s="1"/>
  <c r="J87" i="5"/>
  <c r="C96" i="31" s="1"/>
  <c r="H21" i="16"/>
  <c r="O6" i="24" s="1"/>
  <c r="J21" i="16"/>
  <c r="O6" i="15" s="1"/>
  <c r="H86" i="5"/>
  <c r="C92" i="28" s="1"/>
  <c r="J86" i="5"/>
  <c r="C95" i="31" s="1"/>
  <c r="D35" i="22"/>
  <c r="H7" i="16"/>
  <c r="C6" i="24" s="1"/>
  <c r="J7" i="16"/>
  <c r="C6" i="15" s="1"/>
  <c r="R87" i="5"/>
  <c r="D93" i="28" s="1"/>
  <c r="T87" i="5"/>
  <c r="D96" i="31" s="1"/>
  <c r="E96" i="31" s="1"/>
  <c r="R5" i="16"/>
  <c r="D4" i="24" s="1"/>
  <c r="D4" i="15"/>
  <c r="H112" i="5"/>
  <c r="C121" i="28" s="1"/>
  <c r="E121" i="28" s="1"/>
  <c r="H60" i="5"/>
  <c r="C64" i="28" s="1"/>
  <c r="J60" i="5"/>
  <c r="C67" i="31" s="1"/>
  <c r="D34" i="19"/>
  <c r="D94" i="22"/>
  <c r="H113" i="5"/>
  <c r="C122" i="28" s="1"/>
  <c r="J113" i="5"/>
  <c r="C125" i="31" s="1"/>
  <c r="H114" i="5"/>
  <c r="C123" i="28" s="1"/>
  <c r="J114" i="5"/>
  <c r="C126" i="31" s="1"/>
  <c r="H7" i="5"/>
  <c r="C6" i="28" s="1"/>
  <c r="E6" i="28" s="1"/>
  <c r="J7" i="5"/>
  <c r="C7" i="31" s="1"/>
  <c r="E7" i="31" s="1"/>
  <c r="R59" i="5"/>
  <c r="D63" i="28" s="1"/>
  <c r="T59" i="5"/>
  <c r="D66" i="31" s="1"/>
  <c r="R113" i="5"/>
  <c r="D122" i="28" s="1"/>
  <c r="T113" i="5"/>
  <c r="D125" i="31" s="1"/>
  <c r="H12" i="12"/>
  <c r="C12" i="13" s="1"/>
  <c r="H59" i="5"/>
  <c r="C63" i="28" s="1"/>
  <c r="J59" i="5"/>
  <c r="C66" i="31" s="1"/>
  <c r="R32" i="5"/>
  <c r="D34" i="28" s="1"/>
  <c r="T32" i="5"/>
  <c r="D36" i="31" s="1"/>
  <c r="H31" i="5"/>
  <c r="C33" i="28" s="1"/>
  <c r="E33" i="28" s="1"/>
  <c r="J31" i="5"/>
  <c r="C35" i="31" s="1"/>
  <c r="E35" i="31" s="1"/>
  <c r="R6" i="16"/>
  <c r="D5" i="24" s="1"/>
  <c r="D5" i="15"/>
  <c r="H32" i="5"/>
  <c r="C34" i="28" s="1"/>
  <c r="J32" i="5"/>
  <c r="C36" i="31" s="1"/>
  <c r="D124" i="22"/>
  <c r="R60" i="5"/>
  <c r="D64" i="28" s="1"/>
  <c r="T60" i="5"/>
  <c r="D67" i="31" s="1"/>
  <c r="H58" i="5"/>
  <c r="C62" i="28" s="1"/>
  <c r="J58" i="5"/>
  <c r="C65" i="31" s="1"/>
  <c r="H26" i="16"/>
  <c r="C10" i="24" s="1"/>
  <c r="J26" i="16"/>
  <c r="C10" i="15" s="1"/>
  <c r="R33" i="16"/>
  <c r="J10" i="24" s="1"/>
  <c r="T33" i="16"/>
  <c r="J10" i="15" s="1"/>
  <c r="H33" i="5"/>
  <c r="C35" i="28" s="1"/>
  <c r="J33" i="5"/>
  <c r="C37" i="31" s="1"/>
  <c r="R33" i="5"/>
  <c r="D35" i="28" s="1"/>
  <c r="T33" i="5"/>
  <c r="D37" i="31" s="1"/>
  <c r="R12" i="16"/>
  <c r="J4" i="24" s="1"/>
  <c r="T12" i="16"/>
  <c r="J4" i="15" s="1"/>
  <c r="R26" i="16"/>
  <c r="D10" i="24" s="1"/>
  <c r="T26" i="16"/>
  <c r="D10" i="15" s="1"/>
  <c r="E5" i="16"/>
  <c r="C4" i="28"/>
  <c r="E4" i="28" s="1"/>
  <c r="N20" i="13"/>
  <c r="R20" i="13" s="1"/>
  <c r="M20" i="16" s="1"/>
  <c r="O20" i="16" s="1"/>
  <c r="O58" i="5"/>
  <c r="O21" i="13"/>
  <c r="P21" i="13" s="1"/>
  <c r="N21" i="13"/>
  <c r="R21" i="13" s="1"/>
  <c r="M21" i="16" s="1"/>
  <c r="O21" i="16" s="1"/>
  <c r="E20" i="13"/>
  <c r="I20" i="13" s="1"/>
  <c r="C20" i="16" s="1"/>
  <c r="E20" i="16" s="1"/>
  <c r="F20" i="13"/>
  <c r="G20" i="13" s="1"/>
  <c r="O14" i="13"/>
  <c r="P14" i="13" s="1"/>
  <c r="N14" i="13"/>
  <c r="R14" i="13" s="1"/>
  <c r="M14" i="16" s="1"/>
  <c r="O14" i="16" s="1"/>
  <c r="F35" i="13"/>
  <c r="G35" i="13" s="1"/>
  <c r="E35" i="13"/>
  <c r="I35" i="13" s="1"/>
  <c r="C35" i="16" s="1"/>
  <c r="E35" i="16" s="1"/>
  <c r="F13" i="13"/>
  <c r="G13" i="13" s="1"/>
  <c r="E13" i="13"/>
  <c r="I13" i="13" s="1"/>
  <c r="C13" i="16" s="1"/>
  <c r="E13" i="16" s="1"/>
  <c r="O19" i="13"/>
  <c r="P19" i="13" s="1"/>
  <c r="N19" i="13"/>
  <c r="R19" i="13" s="1"/>
  <c r="M19" i="16" s="1"/>
  <c r="O19" i="16" s="1"/>
  <c r="F28" i="13"/>
  <c r="G28" i="13" s="1"/>
  <c r="E28" i="13"/>
  <c r="I28" i="13" s="1"/>
  <c r="C28" i="16" s="1"/>
  <c r="E28" i="16" s="1"/>
  <c r="F34" i="13"/>
  <c r="G34" i="13" s="1"/>
  <c r="E34" i="13"/>
  <c r="I34" i="13" s="1"/>
  <c r="C34" i="16" s="1"/>
  <c r="E34" i="16" s="1"/>
  <c r="O27" i="13"/>
  <c r="P27" i="13" s="1"/>
  <c r="N27" i="13"/>
  <c r="R27" i="13" s="1"/>
  <c r="M27" i="16" s="1"/>
  <c r="O27" i="16" s="1"/>
  <c r="F6" i="13"/>
  <c r="G6" i="13" s="1"/>
  <c r="E6" i="13"/>
  <c r="I6" i="13" s="1"/>
  <c r="C6" i="16" s="1"/>
  <c r="E6" i="16" s="1"/>
  <c r="O28" i="13"/>
  <c r="P28" i="13" s="1"/>
  <c r="N28" i="13"/>
  <c r="R28" i="13" s="1"/>
  <c r="M28" i="16" s="1"/>
  <c r="O28" i="16" s="1"/>
  <c r="O114" i="5"/>
  <c r="O34" i="13"/>
  <c r="P34" i="13" s="1"/>
  <c r="N34" i="13"/>
  <c r="R34" i="13" s="1"/>
  <c r="M34" i="16" s="1"/>
  <c r="O34" i="16" s="1"/>
  <c r="F27" i="13"/>
  <c r="G27" i="13" s="1"/>
  <c r="E27" i="13"/>
  <c r="I27" i="13" s="1"/>
  <c r="C27" i="16" s="1"/>
  <c r="E27" i="16" s="1"/>
  <c r="O86" i="5"/>
  <c r="O35" i="13"/>
  <c r="P35" i="13" s="1"/>
  <c r="N35" i="13"/>
  <c r="R35" i="13" s="1"/>
  <c r="M35" i="16" s="1"/>
  <c r="O35" i="16" s="1"/>
  <c r="E19" i="13"/>
  <c r="I19" i="13" s="1"/>
  <c r="C19" i="16" s="1"/>
  <c r="E19" i="16" s="1"/>
  <c r="F19" i="13"/>
  <c r="G19" i="13" s="1"/>
  <c r="F14" i="13"/>
  <c r="G14" i="13" s="1"/>
  <c r="E14" i="13"/>
  <c r="I14" i="13" s="1"/>
  <c r="C14" i="16" s="1"/>
  <c r="E14" i="16" s="1"/>
  <c r="E6" i="5"/>
  <c r="O13" i="13"/>
  <c r="P13" i="13" s="1"/>
  <c r="N13" i="13"/>
  <c r="R13" i="13" s="1"/>
  <c r="M13" i="16" s="1"/>
  <c r="O13" i="16" s="1"/>
  <c r="E33" i="13"/>
  <c r="I33" i="13" s="1"/>
  <c r="C33" i="16" s="1"/>
  <c r="E33" i="16" s="1"/>
  <c r="F33" i="13"/>
  <c r="G33" i="13" s="1"/>
  <c r="E122" i="28" l="1"/>
  <c r="E136" i="28"/>
  <c r="F136" i="28" s="1"/>
  <c r="E137" i="28"/>
  <c r="F137" i="28" s="1"/>
  <c r="Y137" i="28" s="1"/>
  <c r="Z137" i="28" s="1"/>
  <c r="E55" i="31"/>
  <c r="E44" i="28"/>
  <c r="F44" i="28" s="1"/>
  <c r="E11" i="31"/>
  <c r="F11" i="31" s="1"/>
  <c r="E103" i="28"/>
  <c r="F103" i="28" s="1"/>
  <c r="E67" i="28"/>
  <c r="F67" i="28" s="1"/>
  <c r="E78" i="28"/>
  <c r="F78" i="28" s="1"/>
  <c r="E102" i="28"/>
  <c r="F102" i="28" s="1"/>
  <c r="E139" i="31"/>
  <c r="F139" i="31" s="1"/>
  <c r="E128" i="31"/>
  <c r="F128" i="31" s="1"/>
  <c r="L107" i="28"/>
  <c r="Y107" i="28"/>
  <c r="Z107" i="28" s="1"/>
  <c r="M107" i="28"/>
  <c r="V107" i="28"/>
  <c r="W107" i="28" s="1"/>
  <c r="N107" i="28"/>
  <c r="K107" i="28"/>
  <c r="P107" i="28"/>
  <c r="Q107" i="28" s="1"/>
  <c r="S107" i="28"/>
  <c r="T107" i="28" s="1"/>
  <c r="M137" i="28"/>
  <c r="P137" i="28"/>
  <c r="Q137" i="28" s="1"/>
  <c r="N137" i="28"/>
  <c r="L137" i="28"/>
  <c r="V137" i="28"/>
  <c r="W137" i="28" s="1"/>
  <c r="K137" i="28"/>
  <c r="S137" i="28"/>
  <c r="T137" i="28" s="1"/>
  <c r="F55" i="31"/>
  <c r="P130" i="31"/>
  <c r="Q130" i="31" s="1"/>
  <c r="K130" i="31"/>
  <c r="S130" i="31"/>
  <c r="T130" i="31" s="1"/>
  <c r="Y130" i="31"/>
  <c r="Z130" i="31" s="1"/>
  <c r="M130" i="31"/>
  <c r="L130" i="31"/>
  <c r="V130" i="31"/>
  <c r="W130" i="31" s="1"/>
  <c r="N130" i="31"/>
  <c r="V44" i="28"/>
  <c r="W44" i="28" s="1"/>
  <c r="K44" i="28"/>
  <c r="M44" i="28"/>
  <c r="L44" i="28"/>
  <c r="Y44" i="28"/>
  <c r="Z44" i="28" s="1"/>
  <c r="S44" i="28"/>
  <c r="T44" i="28" s="1"/>
  <c r="N44" i="28"/>
  <c r="P44" i="28"/>
  <c r="Q44" i="28" s="1"/>
  <c r="E98" i="31"/>
  <c r="F98" i="31" s="1"/>
  <c r="M103" i="28"/>
  <c r="L103" i="28"/>
  <c r="S103" i="28"/>
  <c r="T103" i="28" s="1"/>
  <c r="P103" i="28"/>
  <c r="Q103" i="28" s="1"/>
  <c r="N103" i="28"/>
  <c r="Y103" i="28"/>
  <c r="Z103" i="28" s="1"/>
  <c r="V103" i="28"/>
  <c r="W103" i="28" s="1"/>
  <c r="K103" i="28"/>
  <c r="S78" i="28"/>
  <c r="T78" i="28" s="1"/>
  <c r="L78" i="28"/>
  <c r="Y78" i="28"/>
  <c r="Z78" i="28" s="1"/>
  <c r="V78" i="28"/>
  <c r="W78" i="28" s="1"/>
  <c r="P78" i="28"/>
  <c r="Q78" i="28" s="1"/>
  <c r="N78" i="28"/>
  <c r="K78" i="28"/>
  <c r="M78" i="28"/>
  <c r="K133" i="28"/>
  <c r="N133" i="28"/>
  <c r="Y133" i="28"/>
  <c r="Z133" i="28" s="1"/>
  <c r="M133" i="28"/>
  <c r="L133" i="28"/>
  <c r="P133" i="28"/>
  <c r="Q133" i="28" s="1"/>
  <c r="V133" i="28"/>
  <c r="W133" i="28" s="1"/>
  <c r="S133" i="28"/>
  <c r="T133" i="28" s="1"/>
  <c r="N39" i="28"/>
  <c r="V39" i="28"/>
  <c r="W39" i="28" s="1"/>
  <c r="P39" i="28"/>
  <c r="Q39" i="28" s="1"/>
  <c r="M39" i="28"/>
  <c r="S39" i="28"/>
  <c r="T39" i="28" s="1"/>
  <c r="Y39" i="28"/>
  <c r="Z39" i="28" s="1"/>
  <c r="L39" i="28"/>
  <c r="K39" i="28"/>
  <c r="E10" i="28"/>
  <c r="F10" i="28" s="1"/>
  <c r="V139" i="31"/>
  <c r="W139" i="31" s="1"/>
  <c r="K139" i="31"/>
  <c r="S139" i="31"/>
  <c r="T139" i="31" s="1"/>
  <c r="Y139" i="31"/>
  <c r="Z139" i="31" s="1"/>
  <c r="M139" i="31"/>
  <c r="P139" i="31"/>
  <c r="Q139" i="31" s="1"/>
  <c r="L139" i="31"/>
  <c r="N139" i="31"/>
  <c r="F23" i="28"/>
  <c r="E40" i="31"/>
  <c r="F40" i="31" s="1"/>
  <c r="N130" i="28"/>
  <c r="L130" i="28"/>
  <c r="M130" i="28"/>
  <c r="K130" i="28"/>
  <c r="S130" i="28"/>
  <c r="T130" i="28" s="1"/>
  <c r="Y130" i="28"/>
  <c r="Z130" i="28" s="1"/>
  <c r="V130" i="28"/>
  <c r="W130" i="28" s="1"/>
  <c r="P130" i="28"/>
  <c r="Q130" i="28" s="1"/>
  <c r="N131" i="28"/>
  <c r="Y131" i="28"/>
  <c r="Z131" i="28" s="1"/>
  <c r="M131" i="28"/>
  <c r="L131" i="28"/>
  <c r="V131" i="28"/>
  <c r="W131" i="28" s="1"/>
  <c r="K131" i="28"/>
  <c r="P131" i="28"/>
  <c r="Q131" i="28" s="1"/>
  <c r="S131" i="28"/>
  <c r="T131" i="28" s="1"/>
  <c r="E22" i="28"/>
  <c r="F22" i="28" s="1"/>
  <c r="E142" i="31"/>
  <c r="F142" i="31" s="1"/>
  <c r="E138" i="28"/>
  <c r="F138" i="28" s="1"/>
  <c r="E141" i="28"/>
  <c r="F141" i="28" s="1"/>
  <c r="Y82" i="28"/>
  <c r="Z82" i="28" s="1"/>
  <c r="S82" i="28"/>
  <c r="T82" i="28" s="1"/>
  <c r="E38" i="28"/>
  <c r="F38" i="28" s="1"/>
  <c r="Y94" i="28"/>
  <c r="Z94" i="28" s="1"/>
  <c r="N94" i="28"/>
  <c r="P94" i="28"/>
  <c r="Q94" i="28" s="1"/>
  <c r="M94" i="28"/>
  <c r="L94" i="28"/>
  <c r="V94" i="28"/>
  <c r="W94" i="28" s="1"/>
  <c r="K94" i="28"/>
  <c r="S94" i="28"/>
  <c r="T94" i="28" s="1"/>
  <c r="V7" i="28"/>
  <c r="W7" i="28" s="1"/>
  <c r="K7" i="28"/>
  <c r="M7" i="28"/>
  <c r="L7" i="28"/>
  <c r="Y7" i="28"/>
  <c r="Z7" i="28" s="1"/>
  <c r="N7" i="28"/>
  <c r="S7" i="28"/>
  <c r="T7" i="28" s="1"/>
  <c r="P7" i="28"/>
  <c r="Q7" i="28" s="1"/>
  <c r="E74" i="28"/>
  <c r="E17" i="28"/>
  <c r="F17" i="28" s="1"/>
  <c r="E106" i="28"/>
  <c r="F106" i="28" s="1"/>
  <c r="K107" i="31"/>
  <c r="S107" i="31"/>
  <c r="T107" i="31" s="1"/>
  <c r="V107" i="31"/>
  <c r="W107" i="31" s="1"/>
  <c r="N107" i="31"/>
  <c r="Y107" i="31"/>
  <c r="Z107" i="31" s="1"/>
  <c r="P107" i="31"/>
  <c r="Q107" i="31" s="1"/>
  <c r="L107" i="31"/>
  <c r="M107" i="31"/>
  <c r="E135" i="28"/>
  <c r="F135" i="28" s="1"/>
  <c r="E73" i="31"/>
  <c r="F73" i="31" s="1"/>
  <c r="E48" i="31"/>
  <c r="F48" i="31" s="1"/>
  <c r="E38" i="31"/>
  <c r="F38" i="31" s="1"/>
  <c r="E13" i="31"/>
  <c r="E81" i="31"/>
  <c r="F81" i="31" s="1"/>
  <c r="M78" i="31"/>
  <c r="L78" i="31"/>
  <c r="V78" i="31"/>
  <c r="W78" i="31" s="1"/>
  <c r="K78" i="31"/>
  <c r="Y78" i="31"/>
  <c r="Z78" i="31" s="1"/>
  <c r="S78" i="31"/>
  <c r="T78" i="31" s="1"/>
  <c r="P78" i="31"/>
  <c r="Q78" i="31" s="1"/>
  <c r="N78" i="31"/>
  <c r="E13" i="28"/>
  <c r="F13" i="28" s="1"/>
  <c r="M65" i="28"/>
  <c r="V65" i="28"/>
  <c r="W65" i="28" s="1"/>
  <c r="Y65" i="28"/>
  <c r="Z65" i="28" s="1"/>
  <c r="L65" i="28"/>
  <c r="P65" i="28"/>
  <c r="Q65" i="28" s="1"/>
  <c r="S65" i="28"/>
  <c r="T65" i="28" s="1"/>
  <c r="N65" i="28"/>
  <c r="K65" i="28"/>
  <c r="E95" i="28"/>
  <c r="F95" i="28" s="1"/>
  <c r="N8" i="31"/>
  <c r="S8" i="31"/>
  <c r="T8" i="31" s="1"/>
  <c r="V8" i="31"/>
  <c r="W8" i="31" s="1"/>
  <c r="K8" i="31"/>
  <c r="M8" i="31"/>
  <c r="Y8" i="31"/>
  <c r="Z8" i="31" s="1"/>
  <c r="L8" i="31"/>
  <c r="P8" i="31"/>
  <c r="Q8" i="31" s="1"/>
  <c r="V138" i="31"/>
  <c r="W138" i="31" s="1"/>
  <c r="L138" i="31"/>
  <c r="P138" i="31"/>
  <c r="Q138" i="31" s="1"/>
  <c r="K138" i="31"/>
  <c r="S138" i="31"/>
  <c r="T138" i="31" s="1"/>
  <c r="N138" i="31"/>
  <c r="M138" i="31"/>
  <c r="Y138" i="31"/>
  <c r="Z138" i="31" s="1"/>
  <c r="Y143" i="31"/>
  <c r="Z143" i="31" s="1"/>
  <c r="S143" i="31"/>
  <c r="T143" i="31" s="1"/>
  <c r="S54" i="31"/>
  <c r="T54" i="31" s="1"/>
  <c r="Y54" i="31"/>
  <c r="Z54" i="31" s="1"/>
  <c r="E114" i="31"/>
  <c r="F114" i="31"/>
  <c r="E131" i="31"/>
  <c r="F131" i="31" s="1"/>
  <c r="E17" i="31"/>
  <c r="F17" i="31" s="1"/>
  <c r="E47" i="31"/>
  <c r="F47" i="31"/>
  <c r="E129" i="31"/>
  <c r="F129" i="31" s="1"/>
  <c r="P104" i="28"/>
  <c r="Q104" i="28" s="1"/>
  <c r="V104" i="28"/>
  <c r="W104" i="28" s="1"/>
  <c r="N104" i="28"/>
  <c r="Y104" i="28"/>
  <c r="Z104" i="28" s="1"/>
  <c r="S104" i="28"/>
  <c r="T104" i="28" s="1"/>
  <c r="L104" i="28"/>
  <c r="K104" i="28"/>
  <c r="M104" i="28"/>
  <c r="E39" i="31"/>
  <c r="F39" i="31" s="1"/>
  <c r="N72" i="31"/>
  <c r="M72" i="31"/>
  <c r="P72" i="31"/>
  <c r="Q72" i="31" s="1"/>
  <c r="Y72" i="31"/>
  <c r="Z72" i="31" s="1"/>
  <c r="L72" i="31"/>
  <c r="K72" i="31"/>
  <c r="S72" i="31"/>
  <c r="T72" i="31" s="1"/>
  <c r="V72" i="31"/>
  <c r="W72" i="31" s="1"/>
  <c r="E19" i="31"/>
  <c r="F19" i="31" s="1"/>
  <c r="E137" i="31"/>
  <c r="F137" i="31" s="1"/>
  <c r="E71" i="31"/>
  <c r="F71" i="31" s="1"/>
  <c r="E136" i="31"/>
  <c r="F136" i="31" s="1"/>
  <c r="E16" i="31"/>
  <c r="F16" i="31" s="1"/>
  <c r="E70" i="28"/>
  <c r="F70" i="28" s="1"/>
  <c r="M46" i="28"/>
  <c r="P46" i="28"/>
  <c r="Q46" i="28" s="1"/>
  <c r="V46" i="28"/>
  <c r="W46" i="28" s="1"/>
  <c r="K46" i="28"/>
  <c r="S46" i="28"/>
  <c r="T46" i="28" s="1"/>
  <c r="Y46" i="28"/>
  <c r="Z46" i="28" s="1"/>
  <c r="N46" i="28"/>
  <c r="L46" i="28"/>
  <c r="S80" i="31"/>
  <c r="T80" i="31" s="1"/>
  <c r="P80" i="31"/>
  <c r="Q80" i="31" s="1"/>
  <c r="Y80" i="31"/>
  <c r="Z80" i="31" s="1"/>
  <c r="M80" i="31"/>
  <c r="L80" i="31"/>
  <c r="V80" i="31"/>
  <c r="W80" i="31" s="1"/>
  <c r="N80" i="31"/>
  <c r="K80" i="31"/>
  <c r="E125" i="28"/>
  <c r="F125" i="28" s="1"/>
  <c r="E36" i="28"/>
  <c r="F36" i="28" s="1"/>
  <c r="F12" i="28"/>
  <c r="F134" i="31"/>
  <c r="E45" i="31"/>
  <c r="F45" i="31" s="1"/>
  <c r="L76" i="28"/>
  <c r="K76" i="28"/>
  <c r="N76" i="28"/>
  <c r="M76" i="28"/>
  <c r="P76" i="28"/>
  <c r="Q76" i="28" s="1"/>
  <c r="Y76" i="28"/>
  <c r="Z76" i="28" s="1"/>
  <c r="V76" i="28"/>
  <c r="W76" i="28" s="1"/>
  <c r="S76" i="28"/>
  <c r="T76" i="28" s="1"/>
  <c r="Y24" i="31"/>
  <c r="Z24" i="31" s="1"/>
  <c r="S24" i="31"/>
  <c r="T24" i="31" s="1"/>
  <c r="E127" i="28"/>
  <c r="F127" i="28"/>
  <c r="N75" i="28"/>
  <c r="Y75" i="28"/>
  <c r="Z75" i="28" s="1"/>
  <c r="K75" i="28"/>
  <c r="L75" i="28"/>
  <c r="V75" i="28"/>
  <c r="W75" i="28" s="1"/>
  <c r="S75" i="28"/>
  <c r="T75" i="28" s="1"/>
  <c r="P75" i="28"/>
  <c r="Q75" i="28" s="1"/>
  <c r="M75" i="28"/>
  <c r="L49" i="28"/>
  <c r="K49" i="28"/>
  <c r="N49" i="28"/>
  <c r="V49" i="28"/>
  <c r="W49" i="28" s="1"/>
  <c r="S49" i="28"/>
  <c r="T49" i="28" s="1"/>
  <c r="P49" i="28"/>
  <c r="Q49" i="28" s="1"/>
  <c r="M49" i="28"/>
  <c r="Y49" i="28"/>
  <c r="Z49" i="28" s="1"/>
  <c r="E21" i="31"/>
  <c r="F21" i="31" s="1"/>
  <c r="E18" i="31"/>
  <c r="F18" i="31" s="1"/>
  <c r="F74" i="28"/>
  <c r="S20" i="28"/>
  <c r="T20" i="28" s="1"/>
  <c r="L20" i="28"/>
  <c r="K20" i="28"/>
  <c r="V20" i="28"/>
  <c r="W20" i="28" s="1"/>
  <c r="P20" i="28"/>
  <c r="Q20" i="28" s="1"/>
  <c r="M20" i="28"/>
  <c r="N20" i="28"/>
  <c r="Y20" i="28"/>
  <c r="Z20" i="28" s="1"/>
  <c r="E93" i="28"/>
  <c r="M111" i="31"/>
  <c r="K111" i="31"/>
  <c r="Y111" i="31"/>
  <c r="Z111" i="31" s="1"/>
  <c r="V111" i="31"/>
  <c r="W111" i="31" s="1"/>
  <c r="P111" i="31"/>
  <c r="Q111" i="31" s="1"/>
  <c r="N111" i="31"/>
  <c r="S111" i="31"/>
  <c r="T111" i="31" s="1"/>
  <c r="L111" i="31"/>
  <c r="E52" i="28"/>
  <c r="F52" i="28" s="1"/>
  <c r="E45" i="28"/>
  <c r="F45" i="28" s="1"/>
  <c r="E126" i="28"/>
  <c r="F126" i="28" s="1"/>
  <c r="L37" i="28"/>
  <c r="V37" i="28"/>
  <c r="W37" i="28" s="1"/>
  <c r="S37" i="28"/>
  <c r="T37" i="28" s="1"/>
  <c r="Y37" i="28"/>
  <c r="Z37" i="28" s="1"/>
  <c r="K37" i="28"/>
  <c r="P37" i="28"/>
  <c r="Q37" i="28" s="1"/>
  <c r="N37" i="28"/>
  <c r="M37" i="28"/>
  <c r="P69" i="28"/>
  <c r="Q69" i="28" s="1"/>
  <c r="N69" i="28"/>
  <c r="V69" i="28"/>
  <c r="W69" i="28" s="1"/>
  <c r="K69" i="28"/>
  <c r="S69" i="28"/>
  <c r="T69" i="28" s="1"/>
  <c r="Y69" i="28"/>
  <c r="Z69" i="28" s="1"/>
  <c r="M69" i="28"/>
  <c r="L69" i="28"/>
  <c r="F18" i="28"/>
  <c r="E134" i="28"/>
  <c r="F134" i="28" s="1"/>
  <c r="E68" i="28"/>
  <c r="F68" i="28" s="1"/>
  <c r="E15" i="28"/>
  <c r="F15" i="28" s="1"/>
  <c r="E76" i="31"/>
  <c r="F76" i="31" s="1"/>
  <c r="E44" i="31"/>
  <c r="F44" i="31" s="1"/>
  <c r="N50" i="31"/>
  <c r="V50" i="31"/>
  <c r="W50" i="31" s="1"/>
  <c r="L50" i="31"/>
  <c r="M50" i="31"/>
  <c r="Y50" i="31"/>
  <c r="Z50" i="31" s="1"/>
  <c r="K50" i="31"/>
  <c r="S50" i="31"/>
  <c r="T50" i="31" s="1"/>
  <c r="P50" i="31"/>
  <c r="Q50" i="31" s="1"/>
  <c r="K77" i="28"/>
  <c r="P77" i="28"/>
  <c r="Q77" i="28" s="1"/>
  <c r="Y77" i="28"/>
  <c r="Z77" i="28" s="1"/>
  <c r="M77" i="28"/>
  <c r="L77" i="28"/>
  <c r="N77" i="28"/>
  <c r="S77" i="28"/>
  <c r="T77" i="28" s="1"/>
  <c r="V77" i="28"/>
  <c r="W77" i="28" s="1"/>
  <c r="E69" i="31"/>
  <c r="F69" i="31" s="1"/>
  <c r="S104" i="31"/>
  <c r="T104" i="31" s="1"/>
  <c r="L104" i="31"/>
  <c r="K104" i="31"/>
  <c r="V104" i="31"/>
  <c r="W104" i="31" s="1"/>
  <c r="P104" i="31"/>
  <c r="Q104" i="31" s="1"/>
  <c r="N104" i="31"/>
  <c r="Y104" i="31"/>
  <c r="Z104" i="31" s="1"/>
  <c r="M104" i="31"/>
  <c r="K103" i="31"/>
  <c r="Y103" i="31"/>
  <c r="Z103" i="31" s="1"/>
  <c r="V103" i="31"/>
  <c r="W103" i="31" s="1"/>
  <c r="P103" i="31"/>
  <c r="Q103" i="31" s="1"/>
  <c r="S103" i="31"/>
  <c r="T103" i="31" s="1"/>
  <c r="L103" i="31"/>
  <c r="M103" i="31"/>
  <c r="N103" i="31"/>
  <c r="S112" i="31"/>
  <c r="T112" i="31" s="1"/>
  <c r="V112" i="31"/>
  <c r="W112" i="31" s="1"/>
  <c r="L112" i="31"/>
  <c r="K112" i="31"/>
  <c r="P112" i="31"/>
  <c r="Q112" i="31" s="1"/>
  <c r="N112" i="31"/>
  <c r="M112" i="31"/>
  <c r="Y112" i="31"/>
  <c r="Z112" i="31" s="1"/>
  <c r="Y110" i="28"/>
  <c r="Z110" i="28" s="1"/>
  <c r="S110" i="28"/>
  <c r="T110" i="28" s="1"/>
  <c r="L11" i="31"/>
  <c r="K11" i="31"/>
  <c r="S11" i="31"/>
  <c r="T11" i="31" s="1"/>
  <c r="P11" i="31"/>
  <c r="Q11" i="31" s="1"/>
  <c r="Y11" i="31"/>
  <c r="Z11" i="31" s="1"/>
  <c r="N11" i="31"/>
  <c r="M11" i="31"/>
  <c r="V11" i="31"/>
  <c r="W11" i="31" s="1"/>
  <c r="F41" i="31"/>
  <c r="V67" i="28"/>
  <c r="W67" i="28" s="1"/>
  <c r="S67" i="28"/>
  <c r="T67" i="28" s="1"/>
  <c r="Y67" i="28"/>
  <c r="Z67" i="28" s="1"/>
  <c r="P67" i="28"/>
  <c r="Q67" i="28" s="1"/>
  <c r="N67" i="28"/>
  <c r="M67" i="28"/>
  <c r="L67" i="28"/>
  <c r="K67" i="28"/>
  <c r="E125" i="31"/>
  <c r="E109" i="28"/>
  <c r="F109" i="28"/>
  <c r="E50" i="28"/>
  <c r="F50" i="28" s="1"/>
  <c r="E47" i="28"/>
  <c r="F47" i="28" s="1"/>
  <c r="V102" i="28"/>
  <c r="W102" i="28" s="1"/>
  <c r="L102" i="28"/>
  <c r="K102" i="28"/>
  <c r="M102" i="28"/>
  <c r="S102" i="28"/>
  <c r="T102" i="28" s="1"/>
  <c r="P102" i="28"/>
  <c r="Q102" i="28" s="1"/>
  <c r="N102" i="28"/>
  <c r="Y102" i="28"/>
  <c r="Z102" i="28" s="1"/>
  <c r="E144" i="31"/>
  <c r="F144" i="31"/>
  <c r="F13" i="31"/>
  <c r="E77" i="31"/>
  <c r="F77" i="31"/>
  <c r="E105" i="31"/>
  <c r="F105" i="31" s="1"/>
  <c r="F19" i="28"/>
  <c r="E19" i="28"/>
  <c r="E35" i="28"/>
  <c r="E139" i="28"/>
  <c r="F139" i="28" s="1"/>
  <c r="S82" i="31"/>
  <c r="T82" i="31" s="1"/>
  <c r="L82" i="31"/>
  <c r="Y82" i="31"/>
  <c r="Z82" i="31" s="1"/>
  <c r="V82" i="31"/>
  <c r="W82" i="31" s="1"/>
  <c r="M82" i="31"/>
  <c r="K82" i="31"/>
  <c r="N82" i="31"/>
  <c r="P82" i="31"/>
  <c r="Q82" i="31" s="1"/>
  <c r="E140" i="28"/>
  <c r="F140" i="28"/>
  <c r="S128" i="28"/>
  <c r="T128" i="28" s="1"/>
  <c r="P128" i="28"/>
  <c r="Q128" i="28" s="1"/>
  <c r="K128" i="28"/>
  <c r="N128" i="28"/>
  <c r="V128" i="28"/>
  <c r="W128" i="28" s="1"/>
  <c r="M128" i="28"/>
  <c r="Y128" i="28"/>
  <c r="Z128" i="28" s="1"/>
  <c r="L128" i="28"/>
  <c r="E36" i="31"/>
  <c r="E66" i="31"/>
  <c r="E64" i="28"/>
  <c r="E53" i="31"/>
  <c r="F53" i="31" s="1"/>
  <c r="F22" i="31"/>
  <c r="P79" i="28"/>
  <c r="Q79" i="28" s="1"/>
  <c r="N79" i="28"/>
  <c r="M79" i="28"/>
  <c r="L79" i="28"/>
  <c r="Y79" i="28"/>
  <c r="Z79" i="28" s="1"/>
  <c r="V79" i="28"/>
  <c r="W79" i="28" s="1"/>
  <c r="K79" i="28"/>
  <c r="S79" i="28"/>
  <c r="T79" i="28" s="1"/>
  <c r="E108" i="28"/>
  <c r="F108" i="28" s="1"/>
  <c r="E25" i="31"/>
  <c r="F25" i="31" s="1"/>
  <c r="S135" i="31"/>
  <c r="T135" i="31" s="1"/>
  <c r="V135" i="31"/>
  <c r="W135" i="31" s="1"/>
  <c r="L135" i="31"/>
  <c r="K135" i="31"/>
  <c r="P135" i="31"/>
  <c r="Q135" i="31" s="1"/>
  <c r="N135" i="31"/>
  <c r="Y135" i="31"/>
  <c r="Z135" i="31" s="1"/>
  <c r="M135" i="31"/>
  <c r="E43" i="31"/>
  <c r="F43" i="31"/>
  <c r="Y42" i="31"/>
  <c r="Z42" i="31" s="1"/>
  <c r="L42" i="31"/>
  <c r="S42" i="31"/>
  <c r="T42" i="31" s="1"/>
  <c r="V42" i="31"/>
  <c r="W42" i="31" s="1"/>
  <c r="P42" i="31"/>
  <c r="Q42" i="31" s="1"/>
  <c r="N42" i="31"/>
  <c r="M42" i="31"/>
  <c r="K42" i="31"/>
  <c r="E100" i="31"/>
  <c r="F100" i="31" s="1"/>
  <c r="L127" i="31"/>
  <c r="K127" i="31"/>
  <c r="P127" i="31"/>
  <c r="Q127" i="31" s="1"/>
  <c r="N127" i="31"/>
  <c r="Y127" i="31"/>
  <c r="Z127" i="31" s="1"/>
  <c r="M127" i="31"/>
  <c r="S127" i="31"/>
  <c r="T127" i="31" s="1"/>
  <c r="V127" i="31"/>
  <c r="W127" i="31" s="1"/>
  <c r="E101" i="31"/>
  <c r="F101" i="31"/>
  <c r="E102" i="31"/>
  <c r="F102" i="31" s="1"/>
  <c r="E74" i="31"/>
  <c r="F74" i="31" s="1"/>
  <c r="E9" i="31"/>
  <c r="F9" i="31"/>
  <c r="E10" i="31"/>
  <c r="F10" i="31" s="1"/>
  <c r="E75" i="31"/>
  <c r="F75" i="31"/>
  <c r="E99" i="31"/>
  <c r="F99" i="31" s="1"/>
  <c r="E132" i="31"/>
  <c r="F132" i="31" s="1"/>
  <c r="E12" i="31"/>
  <c r="F12" i="31"/>
  <c r="E73" i="28"/>
  <c r="F73" i="28"/>
  <c r="E42" i="28"/>
  <c r="F42" i="28" s="1"/>
  <c r="F48" i="28"/>
  <c r="E66" i="28"/>
  <c r="F66" i="28" s="1"/>
  <c r="E101" i="28"/>
  <c r="F101" i="28" s="1"/>
  <c r="S100" i="28"/>
  <c r="T100" i="28" s="1"/>
  <c r="L100" i="28"/>
  <c r="K100" i="28"/>
  <c r="V100" i="28"/>
  <c r="W100" i="28" s="1"/>
  <c r="M100" i="28"/>
  <c r="P100" i="28"/>
  <c r="Q100" i="28" s="1"/>
  <c r="N100" i="28"/>
  <c r="Y100" i="28"/>
  <c r="Z100" i="28" s="1"/>
  <c r="E110" i="31"/>
  <c r="F110" i="31" s="1"/>
  <c r="E83" i="31"/>
  <c r="F83" i="31" s="1"/>
  <c r="E52" i="31"/>
  <c r="F52" i="31" s="1"/>
  <c r="E49" i="31"/>
  <c r="F49" i="31"/>
  <c r="E68" i="31"/>
  <c r="F68" i="31" s="1"/>
  <c r="L108" i="31"/>
  <c r="V108" i="31"/>
  <c r="W108" i="31" s="1"/>
  <c r="K108" i="31"/>
  <c r="S108" i="31"/>
  <c r="T108" i="31" s="1"/>
  <c r="Y108" i="31"/>
  <c r="Z108" i="31" s="1"/>
  <c r="M108" i="31"/>
  <c r="P108" i="31"/>
  <c r="Q108" i="31" s="1"/>
  <c r="N108" i="31"/>
  <c r="E14" i="28"/>
  <c r="F14" i="28" s="1"/>
  <c r="V51" i="31"/>
  <c r="W51" i="31" s="1"/>
  <c r="Y51" i="31"/>
  <c r="Z51" i="31" s="1"/>
  <c r="P51" i="31"/>
  <c r="Q51" i="31" s="1"/>
  <c r="N51" i="31"/>
  <c r="M51" i="31"/>
  <c r="L51" i="31"/>
  <c r="S51" i="31"/>
  <c r="T51" i="31" s="1"/>
  <c r="K51" i="31"/>
  <c r="S53" i="28"/>
  <c r="T53" i="28" s="1"/>
  <c r="Y53" i="28"/>
  <c r="Z53" i="28" s="1"/>
  <c r="E133" i="31"/>
  <c r="F133" i="31" s="1"/>
  <c r="E43" i="28"/>
  <c r="F43" i="28" s="1"/>
  <c r="V105" i="28"/>
  <c r="W105" i="28" s="1"/>
  <c r="P105" i="28"/>
  <c r="Q105" i="28" s="1"/>
  <c r="N105" i="28"/>
  <c r="M105" i="28"/>
  <c r="Y105" i="28"/>
  <c r="Z105" i="28" s="1"/>
  <c r="L105" i="28"/>
  <c r="S105" i="28"/>
  <c r="T105" i="28" s="1"/>
  <c r="K105" i="28"/>
  <c r="E20" i="31"/>
  <c r="F20" i="31" s="1"/>
  <c r="P23" i="31"/>
  <c r="Q23" i="31" s="1"/>
  <c r="N23" i="31"/>
  <c r="Y23" i="31"/>
  <c r="Z23" i="31" s="1"/>
  <c r="M23" i="31"/>
  <c r="L23" i="31"/>
  <c r="V23" i="31"/>
  <c r="W23" i="31" s="1"/>
  <c r="K23" i="31"/>
  <c r="S23" i="31"/>
  <c r="T23" i="31" s="1"/>
  <c r="E141" i="31"/>
  <c r="F141" i="31" s="1"/>
  <c r="E85" i="31"/>
  <c r="F85" i="31"/>
  <c r="F97" i="31"/>
  <c r="Y109" i="31"/>
  <c r="Z109" i="31" s="1"/>
  <c r="V109" i="31"/>
  <c r="W109" i="31" s="1"/>
  <c r="S109" i="31"/>
  <c r="T109" i="31" s="1"/>
  <c r="L109" i="31"/>
  <c r="P109" i="31"/>
  <c r="Q109" i="31" s="1"/>
  <c r="N109" i="31"/>
  <c r="M109" i="31"/>
  <c r="K109" i="31"/>
  <c r="S136" i="28"/>
  <c r="T136" i="28" s="1"/>
  <c r="P136" i="28"/>
  <c r="Q136" i="28" s="1"/>
  <c r="M136" i="28"/>
  <c r="L136" i="28"/>
  <c r="V136" i="28"/>
  <c r="W136" i="28" s="1"/>
  <c r="K136" i="28"/>
  <c r="N136" i="28"/>
  <c r="Y136" i="28"/>
  <c r="Z136" i="28" s="1"/>
  <c r="E37" i="31"/>
  <c r="E67" i="31"/>
  <c r="Y111" i="28"/>
  <c r="Z111" i="28" s="1"/>
  <c r="S111" i="28"/>
  <c r="T111" i="28" s="1"/>
  <c r="P16" i="28"/>
  <c r="Q16" i="28" s="1"/>
  <c r="N16" i="28"/>
  <c r="K16" i="28"/>
  <c r="V16" i="28"/>
  <c r="W16" i="28" s="1"/>
  <c r="S16" i="28"/>
  <c r="T16" i="28" s="1"/>
  <c r="M16" i="28"/>
  <c r="L16" i="28"/>
  <c r="Y16" i="28"/>
  <c r="Z16" i="28" s="1"/>
  <c r="E34" i="28"/>
  <c r="E63" i="28"/>
  <c r="S63" i="28" s="1"/>
  <c r="T63" i="28" s="1"/>
  <c r="E51" i="28"/>
  <c r="F51" i="28" s="1"/>
  <c r="E21" i="28"/>
  <c r="F21" i="28" s="1"/>
  <c r="E140" i="31"/>
  <c r="F140" i="31" s="1"/>
  <c r="K80" i="28"/>
  <c r="P80" i="28"/>
  <c r="Q80" i="28" s="1"/>
  <c r="N80" i="28"/>
  <c r="M80" i="28"/>
  <c r="V80" i="28"/>
  <c r="W80" i="28" s="1"/>
  <c r="S80" i="28"/>
  <c r="T80" i="28" s="1"/>
  <c r="Y80" i="28"/>
  <c r="Z80" i="28" s="1"/>
  <c r="L80" i="28"/>
  <c r="F113" i="31"/>
  <c r="S81" i="28"/>
  <c r="T81" i="28" s="1"/>
  <c r="Y81" i="28"/>
  <c r="Z81" i="28" s="1"/>
  <c r="E24" i="28"/>
  <c r="F24" i="28" s="1"/>
  <c r="E132" i="28"/>
  <c r="F132" i="28" s="1"/>
  <c r="E41" i="28"/>
  <c r="F41" i="28" s="1"/>
  <c r="E40" i="28"/>
  <c r="F40" i="28"/>
  <c r="E97" i="28"/>
  <c r="F97" i="28" s="1"/>
  <c r="E124" i="28"/>
  <c r="F124" i="28" s="1"/>
  <c r="E98" i="28"/>
  <c r="F98" i="28" s="1"/>
  <c r="E99" i="28"/>
  <c r="F99" i="28" s="1"/>
  <c r="S71" i="28"/>
  <c r="T71" i="28" s="1"/>
  <c r="P71" i="28"/>
  <c r="Q71" i="28" s="1"/>
  <c r="K71" i="28"/>
  <c r="Y71" i="28"/>
  <c r="Z71" i="28" s="1"/>
  <c r="N71" i="28"/>
  <c r="M71" i="28"/>
  <c r="V71" i="28"/>
  <c r="W71" i="28" s="1"/>
  <c r="L71" i="28"/>
  <c r="F46" i="31"/>
  <c r="E8" i="28"/>
  <c r="F8" i="28"/>
  <c r="E9" i="28"/>
  <c r="F9" i="28" s="1"/>
  <c r="S72" i="28"/>
  <c r="T72" i="28" s="1"/>
  <c r="P72" i="28"/>
  <c r="Q72" i="28" s="1"/>
  <c r="L72" i="28"/>
  <c r="K72" i="28"/>
  <c r="Y72" i="28"/>
  <c r="Z72" i="28" s="1"/>
  <c r="V72" i="28"/>
  <c r="W72" i="28" s="1"/>
  <c r="N72" i="28"/>
  <c r="M72" i="28"/>
  <c r="E96" i="28"/>
  <c r="F96" i="28" s="1"/>
  <c r="E129" i="28"/>
  <c r="F129" i="28" s="1"/>
  <c r="N11" i="28"/>
  <c r="Y11" i="28"/>
  <c r="Z11" i="28" s="1"/>
  <c r="P11" i="28"/>
  <c r="Q11" i="28" s="1"/>
  <c r="M11" i="28"/>
  <c r="V11" i="28"/>
  <c r="W11" i="28" s="1"/>
  <c r="S11" i="28"/>
  <c r="T11" i="28" s="1"/>
  <c r="L11" i="28"/>
  <c r="K11" i="28"/>
  <c r="F14" i="31"/>
  <c r="E106" i="31"/>
  <c r="F106" i="31" s="1"/>
  <c r="E15" i="31"/>
  <c r="F15" i="31" s="1"/>
  <c r="N79" i="31"/>
  <c r="M79" i="31"/>
  <c r="V79" i="31"/>
  <c r="W79" i="31" s="1"/>
  <c r="S79" i="31"/>
  <c r="T79" i="31" s="1"/>
  <c r="P79" i="31"/>
  <c r="Q79" i="31" s="1"/>
  <c r="Y79" i="31"/>
  <c r="Z79" i="31" s="1"/>
  <c r="K79" i="31"/>
  <c r="L79" i="31"/>
  <c r="E70" i="31"/>
  <c r="F70" i="31"/>
  <c r="E84" i="31"/>
  <c r="F84" i="31" s="1"/>
  <c r="C16" i="19"/>
  <c r="C122" i="19"/>
  <c r="E122" i="19" s="1"/>
  <c r="F122" i="19" s="1"/>
  <c r="S122" i="19" s="1"/>
  <c r="T122" i="19" s="1"/>
  <c r="C42" i="19"/>
  <c r="C37" i="19"/>
  <c r="D75" i="19"/>
  <c r="D99" i="19"/>
  <c r="C20" i="19"/>
  <c r="D138" i="19"/>
  <c r="C133" i="19"/>
  <c r="E133" i="19" s="1"/>
  <c r="F133" i="19" s="1"/>
  <c r="D41" i="19"/>
  <c r="D70" i="19"/>
  <c r="C101" i="19"/>
  <c r="E101" i="19" s="1"/>
  <c r="F101" i="19" s="1"/>
  <c r="C40" i="19"/>
  <c r="C9" i="19"/>
  <c r="D83" i="19"/>
  <c r="C48" i="19"/>
  <c r="E48" i="19" s="1"/>
  <c r="F48" i="19" s="1"/>
  <c r="P48" i="19" s="1"/>
  <c r="Q48" i="19" s="1"/>
  <c r="D8" i="19"/>
  <c r="C83" i="19"/>
  <c r="C111" i="19"/>
  <c r="E111" i="19" s="1"/>
  <c r="F111" i="19" s="1"/>
  <c r="Y111" i="19" s="1"/>
  <c r="Z111" i="19" s="1"/>
  <c r="C17" i="19"/>
  <c r="C14" i="19"/>
  <c r="E14" i="19" s="1"/>
  <c r="F14" i="19" s="1"/>
  <c r="C44" i="19"/>
  <c r="E44" i="19" s="1"/>
  <c r="F44" i="19" s="1"/>
  <c r="C45" i="19"/>
  <c r="C138" i="19"/>
  <c r="C73" i="19"/>
  <c r="E73" i="19" s="1"/>
  <c r="F73" i="19" s="1"/>
  <c r="C10" i="19"/>
  <c r="C77" i="19"/>
  <c r="E77" i="19" s="1"/>
  <c r="F77" i="19" s="1"/>
  <c r="N77" i="19" s="1"/>
  <c r="C34" i="19"/>
  <c r="E34" i="19" s="1"/>
  <c r="F34" i="19" s="1"/>
  <c r="S34" i="19" s="1"/>
  <c r="T34" i="19" s="1"/>
  <c r="D50" i="19"/>
  <c r="C128" i="19"/>
  <c r="D107" i="19"/>
  <c r="C100" i="19"/>
  <c r="D10" i="19"/>
  <c r="D19" i="19"/>
  <c r="D96" i="19"/>
  <c r="D130" i="19"/>
  <c r="C126" i="19"/>
  <c r="C69" i="19"/>
  <c r="C71" i="19"/>
  <c r="C72" i="19"/>
  <c r="E72" i="19" s="1"/>
  <c r="F72" i="19" s="1"/>
  <c r="Y72" i="19" s="1"/>
  <c r="Z72" i="19" s="1"/>
  <c r="C49" i="19"/>
  <c r="E49" i="19" s="1"/>
  <c r="F49" i="19" s="1"/>
  <c r="Y49" i="19" s="1"/>
  <c r="Z49" i="19" s="1"/>
  <c r="C75" i="19"/>
  <c r="C47" i="19"/>
  <c r="E47" i="19" s="1"/>
  <c r="F47" i="19" s="1"/>
  <c r="K47" i="19" s="1"/>
  <c r="D97" i="19"/>
  <c r="C130" i="19"/>
  <c r="D100" i="19"/>
  <c r="C66" i="19"/>
  <c r="E66" i="19" s="1"/>
  <c r="F66" i="19" s="1"/>
  <c r="K66" i="19" s="1"/>
  <c r="D39" i="19"/>
  <c r="C134" i="19"/>
  <c r="C97" i="19"/>
  <c r="D67" i="19"/>
  <c r="D71" i="19"/>
  <c r="C112" i="19"/>
  <c r="D65" i="19"/>
  <c r="C76" i="19"/>
  <c r="E76" i="19" s="1"/>
  <c r="F76" i="19" s="1"/>
  <c r="L76" i="19" s="1"/>
  <c r="C92" i="19"/>
  <c r="E92" i="19" s="1"/>
  <c r="F92" i="19" s="1"/>
  <c r="S92" i="19" s="1"/>
  <c r="T92" i="19" s="1"/>
  <c r="D16" i="19"/>
  <c r="E10" i="15"/>
  <c r="F10" i="15" s="1"/>
  <c r="E6" i="15"/>
  <c r="F6" i="15" s="1"/>
  <c r="C8" i="19"/>
  <c r="E8" i="19" s="1"/>
  <c r="F8" i="19" s="1"/>
  <c r="C15" i="19"/>
  <c r="C11" i="19"/>
  <c r="D103" i="19"/>
  <c r="C93" i="19"/>
  <c r="C46" i="19"/>
  <c r="D17" i="19"/>
  <c r="D64" i="19"/>
  <c r="D6" i="19"/>
  <c r="C68" i="19"/>
  <c r="D9" i="19"/>
  <c r="E9" i="19" s="1"/>
  <c r="F9" i="19" s="1"/>
  <c r="D42" i="19"/>
  <c r="D21" i="19"/>
  <c r="C129" i="19"/>
  <c r="E129" i="19" s="1"/>
  <c r="F129" i="19" s="1"/>
  <c r="K129" i="19" s="1"/>
  <c r="C18" i="19"/>
  <c r="C104" i="19"/>
  <c r="D123" i="19"/>
  <c r="C67" i="19"/>
  <c r="C78" i="19"/>
  <c r="E78" i="19" s="1"/>
  <c r="F78" i="19" s="1"/>
  <c r="S78" i="19" s="1"/>
  <c r="T78" i="19" s="1"/>
  <c r="D140" i="19"/>
  <c r="C39" i="19"/>
  <c r="C103" i="19"/>
  <c r="C43" i="19"/>
  <c r="E43" i="19" s="1"/>
  <c r="F43" i="19" s="1"/>
  <c r="N43" i="19" s="1"/>
  <c r="D13" i="19"/>
  <c r="D18" i="19"/>
  <c r="D46" i="19"/>
  <c r="D37" i="19"/>
  <c r="C131" i="19"/>
  <c r="E131" i="19" s="1"/>
  <c r="F131" i="19" s="1"/>
  <c r="Y131" i="19" s="1"/>
  <c r="Z131" i="19" s="1"/>
  <c r="C95" i="19"/>
  <c r="E95" i="19" s="1"/>
  <c r="F95" i="19" s="1"/>
  <c r="V95" i="19" s="1"/>
  <c r="W95" i="19" s="1"/>
  <c r="C96" i="19"/>
  <c r="C74" i="19"/>
  <c r="E74" i="19" s="1"/>
  <c r="F74" i="19" s="1"/>
  <c r="N74" i="19" s="1"/>
  <c r="C107" i="19"/>
  <c r="C105" i="19"/>
  <c r="E105" i="19" s="1"/>
  <c r="F105" i="19" s="1"/>
  <c r="Y105" i="19" s="1"/>
  <c r="Z105" i="19" s="1"/>
  <c r="D112" i="19"/>
  <c r="C136" i="19"/>
  <c r="E136" i="19" s="1"/>
  <c r="F136" i="19" s="1"/>
  <c r="P136" i="19" s="1"/>
  <c r="Q136" i="19" s="1"/>
  <c r="C127" i="19"/>
  <c r="C102" i="19"/>
  <c r="E102" i="19" s="1"/>
  <c r="F102" i="19" s="1"/>
  <c r="L102" i="19" s="1"/>
  <c r="C12" i="19"/>
  <c r="E12" i="19" s="1"/>
  <c r="F12" i="19" s="1"/>
  <c r="N12" i="19" s="1"/>
  <c r="C36" i="19"/>
  <c r="C98" i="19"/>
  <c r="C13" i="19"/>
  <c r="D98" i="19"/>
  <c r="C135" i="22"/>
  <c r="E135" i="22" s="1"/>
  <c r="F135" i="22" s="1"/>
  <c r="C100" i="22"/>
  <c r="C134" i="22"/>
  <c r="E134" i="22" s="1"/>
  <c r="F134" i="22" s="1"/>
  <c r="C82" i="19"/>
  <c r="E82" i="19" s="1"/>
  <c r="F82" i="19" s="1"/>
  <c r="S82" i="19" s="1"/>
  <c r="T82" i="19" s="1"/>
  <c r="D7" i="22"/>
  <c r="C137" i="22"/>
  <c r="D130" i="22"/>
  <c r="C130" i="22"/>
  <c r="D100" i="22"/>
  <c r="D132" i="22"/>
  <c r="C73" i="22"/>
  <c r="D25" i="19"/>
  <c r="C137" i="19"/>
  <c r="C22" i="19"/>
  <c r="E22" i="19" s="1"/>
  <c r="F22" i="19" s="1"/>
  <c r="L22" i="19" s="1"/>
  <c r="C41" i="19"/>
  <c r="D68" i="19"/>
  <c r="D38" i="19"/>
  <c r="D20" i="19"/>
  <c r="C99" i="19"/>
  <c r="C106" i="19"/>
  <c r="E106" i="19" s="1"/>
  <c r="F106" i="19" s="1"/>
  <c r="P106" i="19" s="1"/>
  <c r="Q106" i="19" s="1"/>
  <c r="C49" i="22"/>
  <c r="E49" i="22" s="1"/>
  <c r="F49" i="22" s="1"/>
  <c r="L49" i="22" s="1"/>
  <c r="C45" i="22"/>
  <c r="E45" i="22" s="1"/>
  <c r="F45" i="22" s="1"/>
  <c r="L45" i="22" s="1"/>
  <c r="C68" i="22"/>
  <c r="E68" i="22" s="1"/>
  <c r="F68" i="22" s="1"/>
  <c r="C46" i="22"/>
  <c r="C9" i="22"/>
  <c r="C10" i="22"/>
  <c r="C75" i="22"/>
  <c r="E75" i="22" s="1"/>
  <c r="F75" i="22" s="1"/>
  <c r="C132" i="22"/>
  <c r="C16" i="22"/>
  <c r="D46" i="22"/>
  <c r="C127" i="22"/>
  <c r="E127" i="22" s="1"/>
  <c r="F127" i="22" s="1"/>
  <c r="D128" i="22"/>
  <c r="D25" i="22"/>
  <c r="C19" i="22"/>
  <c r="D39" i="22"/>
  <c r="C136" i="22"/>
  <c r="C99" i="22"/>
  <c r="C38" i="22"/>
  <c r="D137" i="19"/>
  <c r="C140" i="19"/>
  <c r="D69" i="19"/>
  <c r="C35" i="19"/>
  <c r="D21" i="22"/>
  <c r="C40" i="22"/>
  <c r="C97" i="22"/>
  <c r="E97" i="22" s="1"/>
  <c r="F97" i="22" s="1"/>
  <c r="C8" i="22"/>
  <c r="C13" i="22"/>
  <c r="C77" i="22"/>
  <c r="C18" i="22"/>
  <c r="C109" i="22"/>
  <c r="D73" i="22"/>
  <c r="C133" i="22"/>
  <c r="E133" i="22" s="1"/>
  <c r="F133" i="22" s="1"/>
  <c r="D6" i="22"/>
  <c r="C105" i="22"/>
  <c r="C98" i="22"/>
  <c r="C76" i="22"/>
  <c r="E76" i="22" s="1"/>
  <c r="F76" i="22" s="1"/>
  <c r="C44" i="22"/>
  <c r="C50" i="22"/>
  <c r="C80" i="22"/>
  <c r="E80" i="22" s="1"/>
  <c r="F80" i="22" s="1"/>
  <c r="C69" i="22"/>
  <c r="C104" i="22"/>
  <c r="E104" i="22" s="1"/>
  <c r="F104" i="22" s="1"/>
  <c r="D13" i="22"/>
  <c r="D11" i="22"/>
  <c r="C20" i="22"/>
  <c r="D94" i="19"/>
  <c r="C101" i="22"/>
  <c r="E10" i="24"/>
  <c r="F10" i="24" s="1"/>
  <c r="D99" i="22"/>
  <c r="D109" i="22"/>
  <c r="D10" i="22"/>
  <c r="D134" i="19"/>
  <c r="E134" i="19" s="1"/>
  <c r="F134" i="19" s="1"/>
  <c r="D104" i="19"/>
  <c r="D45" i="19"/>
  <c r="E5" i="22"/>
  <c r="F5" i="22" s="1"/>
  <c r="Y5" i="22" s="1"/>
  <c r="Z5" i="22" s="1"/>
  <c r="D105" i="22"/>
  <c r="D16" i="22"/>
  <c r="D38" i="22"/>
  <c r="C11" i="22"/>
  <c r="C78" i="22"/>
  <c r="E78" i="22" s="1"/>
  <c r="F78" i="22" s="1"/>
  <c r="D18" i="22"/>
  <c r="D43" i="22"/>
  <c r="C12" i="22"/>
  <c r="E12" i="22" s="1"/>
  <c r="F12" i="22" s="1"/>
  <c r="D8" i="22"/>
  <c r="D20" i="22"/>
  <c r="D136" i="22"/>
  <c r="D77" i="22"/>
  <c r="C74" i="22"/>
  <c r="E74" i="22" s="1"/>
  <c r="F74" i="22" s="1"/>
  <c r="E6" i="24"/>
  <c r="F6" i="24" s="1"/>
  <c r="D98" i="22"/>
  <c r="C48" i="22"/>
  <c r="E48" i="22" s="1"/>
  <c r="F48" i="22" s="1"/>
  <c r="L48" i="22" s="1"/>
  <c r="C132" i="19"/>
  <c r="E132" i="19" s="1"/>
  <c r="F132" i="19" s="1"/>
  <c r="V132" i="19" s="1"/>
  <c r="W132" i="19" s="1"/>
  <c r="D128" i="19"/>
  <c r="D15" i="19"/>
  <c r="D126" i="19"/>
  <c r="E126" i="19" s="1"/>
  <c r="F126" i="19" s="1"/>
  <c r="C19" i="19"/>
  <c r="C131" i="22"/>
  <c r="E131" i="22" s="1"/>
  <c r="F131" i="22" s="1"/>
  <c r="D69" i="22"/>
  <c r="D9" i="22"/>
  <c r="D102" i="22"/>
  <c r="C17" i="22"/>
  <c r="D47" i="22"/>
  <c r="C47" i="22"/>
  <c r="C129" i="22"/>
  <c r="D19" i="22"/>
  <c r="C107" i="22"/>
  <c r="C138" i="22"/>
  <c r="E138" i="22" s="1"/>
  <c r="F138" i="22" s="1"/>
  <c r="D101" i="22"/>
  <c r="D17" i="22"/>
  <c r="C14" i="22"/>
  <c r="E14" i="22" s="1"/>
  <c r="F14" i="22" s="1"/>
  <c r="C106" i="22"/>
  <c r="C15" i="22"/>
  <c r="D72" i="22"/>
  <c r="C79" i="22"/>
  <c r="C70" i="22"/>
  <c r="D42" i="22"/>
  <c r="C103" i="22"/>
  <c r="E103" i="22" s="1"/>
  <c r="F103" i="22" s="1"/>
  <c r="C43" i="22"/>
  <c r="C42" i="22"/>
  <c r="D139" i="22"/>
  <c r="D70" i="22"/>
  <c r="C139" i="22"/>
  <c r="C102" i="22"/>
  <c r="C71" i="22"/>
  <c r="D139" i="19"/>
  <c r="D40" i="22"/>
  <c r="D129" i="22"/>
  <c r="C41" i="22"/>
  <c r="C128" i="22"/>
  <c r="C70" i="19"/>
  <c r="D11" i="19"/>
  <c r="D7" i="19"/>
  <c r="C38" i="19"/>
  <c r="C135" i="19"/>
  <c r="D40" i="19"/>
  <c r="C125" i="19"/>
  <c r="E125" i="19" s="1"/>
  <c r="F125" i="19" s="1"/>
  <c r="M125" i="19" s="1"/>
  <c r="D135" i="19"/>
  <c r="D35" i="19"/>
  <c r="C109" i="19"/>
  <c r="E109" i="19" s="1"/>
  <c r="F109" i="19" s="1"/>
  <c r="P109" i="19" s="1"/>
  <c r="Q109" i="19" s="1"/>
  <c r="D127" i="19"/>
  <c r="C39" i="22"/>
  <c r="C72" i="22"/>
  <c r="D106" i="22"/>
  <c r="D71" i="22"/>
  <c r="D137" i="22"/>
  <c r="D15" i="22"/>
  <c r="D41" i="22"/>
  <c r="C108" i="22"/>
  <c r="E108" i="22" s="1"/>
  <c r="F108" i="22" s="1"/>
  <c r="C25" i="22"/>
  <c r="C55" i="22"/>
  <c r="D55" i="22"/>
  <c r="C85" i="22"/>
  <c r="C54" i="19"/>
  <c r="C114" i="22"/>
  <c r="D114" i="22"/>
  <c r="D85" i="22"/>
  <c r="D54" i="19"/>
  <c r="C25" i="19"/>
  <c r="C142" i="19"/>
  <c r="C54" i="22"/>
  <c r="E54" i="22" s="1"/>
  <c r="F54" i="22" s="1"/>
  <c r="C81" i="19"/>
  <c r="E81" i="19" s="1"/>
  <c r="F81" i="19" s="1"/>
  <c r="M81" i="19" s="1"/>
  <c r="D52" i="19"/>
  <c r="C53" i="19"/>
  <c r="E53" i="19" s="1"/>
  <c r="F53" i="19" s="1"/>
  <c r="S53" i="19" s="1"/>
  <c r="T53" i="19" s="1"/>
  <c r="C113" i="22"/>
  <c r="E113" i="22" s="1"/>
  <c r="F113" i="22" s="1"/>
  <c r="C110" i="19"/>
  <c r="E110" i="19" s="1"/>
  <c r="F110" i="19" s="1"/>
  <c r="P110" i="19" s="1"/>
  <c r="Q110" i="19" s="1"/>
  <c r="C84" i="22"/>
  <c r="E84" i="22" s="1"/>
  <c r="F84" i="22" s="1"/>
  <c r="C24" i="19"/>
  <c r="E24" i="19" s="1"/>
  <c r="F24" i="19" s="1"/>
  <c r="S24" i="19" s="1"/>
  <c r="T24" i="19" s="1"/>
  <c r="C141" i="19"/>
  <c r="D141" i="19"/>
  <c r="C24" i="22"/>
  <c r="E24" i="22" s="1"/>
  <c r="F24" i="22" s="1"/>
  <c r="C79" i="19"/>
  <c r="C80" i="19"/>
  <c r="E80" i="19" s="1"/>
  <c r="F80" i="19" s="1"/>
  <c r="N80" i="19" s="1"/>
  <c r="C21" i="19"/>
  <c r="C51" i="19"/>
  <c r="E51" i="19" s="1"/>
  <c r="F51" i="19" s="1"/>
  <c r="L51" i="19" s="1"/>
  <c r="D144" i="22"/>
  <c r="C144" i="22"/>
  <c r="D142" i="19"/>
  <c r="C143" i="22"/>
  <c r="D143" i="22"/>
  <c r="D53" i="22"/>
  <c r="D81" i="22"/>
  <c r="C21" i="22"/>
  <c r="C23" i="19"/>
  <c r="E23" i="19" s="1"/>
  <c r="F23" i="19" s="1"/>
  <c r="V23" i="19" s="1"/>
  <c r="W23" i="19" s="1"/>
  <c r="C51" i="22"/>
  <c r="C83" i="22"/>
  <c r="E83" i="22" s="1"/>
  <c r="F83" i="22" s="1"/>
  <c r="C53" i="22"/>
  <c r="D140" i="22"/>
  <c r="C111" i="22"/>
  <c r="E111" i="22" s="1"/>
  <c r="F111" i="22" s="1"/>
  <c r="D142" i="22"/>
  <c r="C52" i="22"/>
  <c r="E52" i="22" s="1"/>
  <c r="F52" i="22" s="1"/>
  <c r="L52" i="22" s="1"/>
  <c r="C81" i="22"/>
  <c r="D110" i="22"/>
  <c r="E110" i="22" s="1"/>
  <c r="F110" i="22" s="1"/>
  <c r="D79" i="19"/>
  <c r="D141" i="22"/>
  <c r="C22" i="22"/>
  <c r="E22" i="22" s="1"/>
  <c r="F22" i="22" s="1"/>
  <c r="C140" i="22"/>
  <c r="D108" i="19"/>
  <c r="E108" i="19" s="1"/>
  <c r="F108" i="19" s="1"/>
  <c r="L108" i="19" s="1"/>
  <c r="C52" i="19"/>
  <c r="C50" i="19"/>
  <c r="C82" i="22"/>
  <c r="E82" i="22" s="1"/>
  <c r="F82" i="22" s="1"/>
  <c r="C142" i="22"/>
  <c r="D51" i="22"/>
  <c r="C141" i="22"/>
  <c r="C23" i="22"/>
  <c r="E23" i="22" s="1"/>
  <c r="F23" i="22" s="1"/>
  <c r="C112" i="22"/>
  <c r="C139" i="19"/>
  <c r="E12" i="13"/>
  <c r="I12" i="13" s="1"/>
  <c r="C12" i="16" s="1"/>
  <c r="E12" i="16" s="1"/>
  <c r="F12" i="13"/>
  <c r="G12" i="13" s="1"/>
  <c r="R19" i="16"/>
  <c r="P4" i="24" s="1"/>
  <c r="T19" i="16"/>
  <c r="P4" i="15" s="1"/>
  <c r="C96" i="22"/>
  <c r="D37" i="22"/>
  <c r="C126" i="22"/>
  <c r="H33" i="16"/>
  <c r="J33" i="16"/>
  <c r="I10" i="15" s="1"/>
  <c r="R21" i="16"/>
  <c r="T21" i="16"/>
  <c r="P6" i="15" s="1"/>
  <c r="C124" i="22"/>
  <c r="R13" i="16"/>
  <c r="J5" i="24" s="1"/>
  <c r="T13" i="16"/>
  <c r="J5" i="15" s="1"/>
  <c r="C64" i="19"/>
  <c r="C37" i="22"/>
  <c r="D67" i="22"/>
  <c r="C35" i="22"/>
  <c r="D125" i="22"/>
  <c r="C125" i="22"/>
  <c r="C65" i="22"/>
  <c r="H19" i="16"/>
  <c r="O4" i="24" s="1"/>
  <c r="J19" i="16"/>
  <c r="O4" i="15" s="1"/>
  <c r="C94" i="22"/>
  <c r="E94" i="22" s="1"/>
  <c r="F94" i="22" s="1"/>
  <c r="H34" i="16"/>
  <c r="I11" i="24" s="1"/>
  <c r="J34" i="16"/>
  <c r="I11" i="15" s="1"/>
  <c r="H5" i="16"/>
  <c r="J5" i="16"/>
  <c r="C4" i="15" s="1"/>
  <c r="C95" i="22"/>
  <c r="R34" i="16"/>
  <c r="J11" i="24" s="1"/>
  <c r="T34" i="16"/>
  <c r="J11" i="15" s="1"/>
  <c r="C67" i="22"/>
  <c r="H20" i="16"/>
  <c r="O5" i="24" s="1"/>
  <c r="J20" i="16"/>
  <c r="O5" i="15" s="1"/>
  <c r="H13" i="16"/>
  <c r="I5" i="24" s="1"/>
  <c r="J13" i="16"/>
  <c r="I5" i="15" s="1"/>
  <c r="R35" i="16"/>
  <c r="J12" i="24" s="1"/>
  <c r="T35" i="16"/>
  <c r="J12" i="15" s="1"/>
  <c r="R114" i="5"/>
  <c r="D123" i="28" s="1"/>
  <c r="E123" i="28" s="1"/>
  <c r="T114" i="5"/>
  <c r="D126" i="31" s="1"/>
  <c r="E126" i="31" s="1"/>
  <c r="H35" i="16"/>
  <c r="I12" i="24" s="1"/>
  <c r="J35" i="16"/>
  <c r="I12" i="15" s="1"/>
  <c r="R58" i="5"/>
  <c r="D62" i="28" s="1"/>
  <c r="E62" i="28" s="1"/>
  <c r="S62" i="28" s="1"/>
  <c r="T62" i="28" s="1"/>
  <c r="T58" i="5"/>
  <c r="D65" i="31" s="1"/>
  <c r="E65" i="31" s="1"/>
  <c r="H6" i="5"/>
  <c r="C5" i="28" s="1"/>
  <c r="E5" i="28" s="1"/>
  <c r="J6" i="5"/>
  <c r="C6" i="31" s="1"/>
  <c r="E6" i="31" s="1"/>
  <c r="R86" i="5"/>
  <c r="D92" i="28" s="1"/>
  <c r="E92" i="28" s="1"/>
  <c r="T86" i="5"/>
  <c r="D95" i="31" s="1"/>
  <c r="E95" i="31" s="1"/>
  <c r="R28" i="16"/>
  <c r="D12" i="24" s="1"/>
  <c r="T28" i="16"/>
  <c r="D12" i="15" s="1"/>
  <c r="R20" i="16"/>
  <c r="P5" i="24" s="1"/>
  <c r="T20" i="16"/>
  <c r="P5" i="15" s="1"/>
  <c r="C65" i="19"/>
  <c r="D36" i="22"/>
  <c r="D66" i="22"/>
  <c r="D96" i="22"/>
  <c r="R27" i="16"/>
  <c r="D11" i="24" s="1"/>
  <c r="T27" i="16"/>
  <c r="D11" i="15" s="1"/>
  <c r="H14" i="16"/>
  <c r="I6" i="24" s="1"/>
  <c r="J14" i="16"/>
  <c r="I6" i="15" s="1"/>
  <c r="H27" i="16"/>
  <c r="C11" i="24" s="1"/>
  <c r="J27" i="16"/>
  <c r="C11" i="15" s="1"/>
  <c r="H28" i="16"/>
  <c r="C12" i="24" s="1"/>
  <c r="J28" i="16"/>
  <c r="C12" i="15" s="1"/>
  <c r="R14" i="16"/>
  <c r="J6" i="24" s="1"/>
  <c r="T14" i="16"/>
  <c r="J6" i="15" s="1"/>
  <c r="C63" i="19"/>
  <c r="H6" i="16"/>
  <c r="J6" i="16"/>
  <c r="C5" i="15" s="1"/>
  <c r="C124" i="19"/>
  <c r="C7" i="19"/>
  <c r="C94" i="19"/>
  <c r="D36" i="19"/>
  <c r="C123" i="19"/>
  <c r="C5" i="19"/>
  <c r="E5" i="19" s="1"/>
  <c r="F5" i="19" s="1"/>
  <c r="S5" i="19" s="1"/>
  <c r="T5" i="19" s="1"/>
  <c r="C36" i="22"/>
  <c r="C66" i="22"/>
  <c r="C7" i="22"/>
  <c r="P129" i="19"/>
  <c r="Q129" i="19" s="1"/>
  <c r="Y95" i="19"/>
  <c r="Z95" i="19" s="1"/>
  <c r="S95" i="19"/>
  <c r="T95" i="19" s="1"/>
  <c r="P95" i="19"/>
  <c r="Q95" i="19" s="1"/>
  <c r="M95" i="19"/>
  <c r="L95" i="19"/>
  <c r="M14" i="19"/>
  <c r="S14" i="19"/>
  <c r="T14" i="19" s="1"/>
  <c r="P14" i="19"/>
  <c r="Q14" i="19" s="1"/>
  <c r="L14" i="19"/>
  <c r="Y14" i="19"/>
  <c r="Z14" i="19" s="1"/>
  <c r="N14" i="19"/>
  <c r="V14" i="19"/>
  <c r="W14" i="19" s="1"/>
  <c r="K14" i="19"/>
  <c r="V22" i="19"/>
  <c r="W22" i="19" s="1"/>
  <c r="E16" i="19"/>
  <c r="F16" i="19" s="1"/>
  <c r="E45" i="19" l="1"/>
  <c r="F45" i="19" s="1"/>
  <c r="P128" i="31"/>
  <c r="Q128" i="31" s="1"/>
  <c r="L128" i="31"/>
  <c r="V128" i="31"/>
  <c r="W128" i="31" s="1"/>
  <c r="K128" i="31"/>
  <c r="N128" i="31"/>
  <c r="Y128" i="31"/>
  <c r="Z128" i="31" s="1"/>
  <c r="S128" i="31"/>
  <c r="T128" i="31" s="1"/>
  <c r="M128" i="31"/>
  <c r="S142" i="31"/>
  <c r="T142" i="31" s="1"/>
  <c r="L142" i="31"/>
  <c r="Y142" i="31"/>
  <c r="Z142" i="31" s="1"/>
  <c r="V142" i="31"/>
  <c r="W142" i="31" s="1"/>
  <c r="P142" i="31"/>
  <c r="Q142" i="31" s="1"/>
  <c r="N142" i="31"/>
  <c r="M142" i="31"/>
  <c r="K142" i="31"/>
  <c r="V16" i="31"/>
  <c r="W16" i="31" s="1"/>
  <c r="K16" i="31"/>
  <c r="Y16" i="31"/>
  <c r="Z16" i="31" s="1"/>
  <c r="P16" i="31"/>
  <c r="Q16" i="31" s="1"/>
  <c r="M16" i="31"/>
  <c r="L16" i="31"/>
  <c r="S16" i="31"/>
  <c r="T16" i="31" s="1"/>
  <c r="N16" i="31"/>
  <c r="P43" i="28"/>
  <c r="Q43" i="28" s="1"/>
  <c r="Y43" i="28"/>
  <c r="Z43" i="28" s="1"/>
  <c r="M43" i="28"/>
  <c r="L43" i="28"/>
  <c r="K43" i="28"/>
  <c r="N43" i="28"/>
  <c r="V43" i="28"/>
  <c r="W43" i="28" s="1"/>
  <c r="S43" i="28"/>
  <c r="T43" i="28" s="1"/>
  <c r="S132" i="28"/>
  <c r="T132" i="28" s="1"/>
  <c r="V132" i="28"/>
  <c r="W132" i="28" s="1"/>
  <c r="K132" i="28"/>
  <c r="P132" i="28"/>
  <c r="Q132" i="28" s="1"/>
  <c r="L132" i="28"/>
  <c r="Y132" i="28"/>
  <c r="Z132" i="28" s="1"/>
  <c r="N132" i="28"/>
  <c r="M132" i="28"/>
  <c r="K42" i="28"/>
  <c r="V42" i="28"/>
  <c r="W42" i="28" s="1"/>
  <c r="P42" i="28"/>
  <c r="Q42" i="28" s="1"/>
  <c r="M42" i="28"/>
  <c r="S42" i="28"/>
  <c r="T42" i="28" s="1"/>
  <c r="Y42" i="28"/>
  <c r="Z42" i="28" s="1"/>
  <c r="N42" i="28"/>
  <c r="L42" i="28"/>
  <c r="M48" i="31"/>
  <c r="L48" i="31"/>
  <c r="K48" i="31"/>
  <c r="Y48" i="31"/>
  <c r="Z48" i="31" s="1"/>
  <c r="V48" i="31"/>
  <c r="W48" i="31" s="1"/>
  <c r="S48" i="31"/>
  <c r="T48" i="31" s="1"/>
  <c r="P48" i="31"/>
  <c r="Q48" i="31" s="1"/>
  <c r="N48" i="31"/>
  <c r="L9" i="28"/>
  <c r="S9" i="28"/>
  <c r="T9" i="28" s="1"/>
  <c r="P9" i="28"/>
  <c r="Q9" i="28" s="1"/>
  <c r="N9" i="28"/>
  <c r="Y9" i="28"/>
  <c r="Z9" i="28" s="1"/>
  <c r="M9" i="28"/>
  <c r="K9" i="28"/>
  <c r="V9" i="28"/>
  <c r="W9" i="28" s="1"/>
  <c r="L68" i="31"/>
  <c r="M68" i="31"/>
  <c r="V68" i="31"/>
  <c r="W68" i="31" s="1"/>
  <c r="K68" i="31"/>
  <c r="S68" i="31"/>
  <c r="T68" i="31" s="1"/>
  <c r="Y68" i="31"/>
  <c r="Z68" i="31" s="1"/>
  <c r="P68" i="31"/>
  <c r="Q68" i="31" s="1"/>
  <c r="N68" i="31"/>
  <c r="V22" i="28"/>
  <c r="W22" i="28" s="1"/>
  <c r="M22" i="28"/>
  <c r="P22" i="28"/>
  <c r="Q22" i="28" s="1"/>
  <c r="Y22" i="28"/>
  <c r="Z22" i="28" s="1"/>
  <c r="S22" i="28"/>
  <c r="T22" i="28" s="1"/>
  <c r="N22" i="28"/>
  <c r="K22" i="28"/>
  <c r="L22" i="28"/>
  <c r="S136" i="31"/>
  <c r="T136" i="31" s="1"/>
  <c r="P136" i="31"/>
  <c r="Q136" i="31" s="1"/>
  <c r="L136" i="31"/>
  <c r="V136" i="31"/>
  <c r="W136" i="31" s="1"/>
  <c r="K136" i="31"/>
  <c r="M136" i="31"/>
  <c r="Y136" i="31"/>
  <c r="Z136" i="31" s="1"/>
  <c r="N136" i="31"/>
  <c r="S24" i="28"/>
  <c r="T24" i="28" s="1"/>
  <c r="Y24" i="28"/>
  <c r="Z24" i="28" s="1"/>
  <c r="N52" i="31"/>
  <c r="V52" i="31"/>
  <c r="W52" i="31" s="1"/>
  <c r="L52" i="31"/>
  <c r="K52" i="31"/>
  <c r="Y52" i="31"/>
  <c r="Z52" i="31" s="1"/>
  <c r="S52" i="31"/>
  <c r="T52" i="31" s="1"/>
  <c r="P52" i="31"/>
  <c r="Q52" i="31" s="1"/>
  <c r="M52" i="31"/>
  <c r="V17" i="31"/>
  <c r="W17" i="31" s="1"/>
  <c r="K17" i="31"/>
  <c r="M17" i="31"/>
  <c r="L17" i="31"/>
  <c r="Y17" i="31"/>
  <c r="Z17" i="31" s="1"/>
  <c r="S17" i="31"/>
  <c r="T17" i="31" s="1"/>
  <c r="N17" i="31"/>
  <c r="P17" i="31"/>
  <c r="Q17" i="31" s="1"/>
  <c r="V99" i="31"/>
  <c r="W99" i="31" s="1"/>
  <c r="L99" i="31"/>
  <c r="Y99" i="31"/>
  <c r="Z99" i="31" s="1"/>
  <c r="M99" i="31"/>
  <c r="S99" i="31"/>
  <c r="T99" i="31" s="1"/>
  <c r="P99" i="31"/>
  <c r="Q99" i="31" s="1"/>
  <c r="N99" i="31"/>
  <c r="K99" i="31"/>
  <c r="V83" i="31"/>
  <c r="W83" i="31" s="1"/>
  <c r="K83" i="31"/>
  <c r="N83" i="31"/>
  <c r="S83" i="31"/>
  <c r="T83" i="31" s="1"/>
  <c r="P83" i="31"/>
  <c r="Q83" i="31" s="1"/>
  <c r="M83" i="31"/>
  <c r="L83" i="31"/>
  <c r="Y83" i="31"/>
  <c r="Z83" i="31" s="1"/>
  <c r="M137" i="31"/>
  <c r="L137" i="31"/>
  <c r="Y137" i="31"/>
  <c r="Z137" i="31" s="1"/>
  <c r="N137" i="31"/>
  <c r="S137" i="31"/>
  <c r="T137" i="31" s="1"/>
  <c r="P137" i="31"/>
  <c r="Q137" i="31" s="1"/>
  <c r="V137" i="31"/>
  <c r="W137" i="31" s="1"/>
  <c r="K137" i="31"/>
  <c r="Y20" i="31"/>
  <c r="Z20" i="31" s="1"/>
  <c r="M20" i="31"/>
  <c r="V20" i="31"/>
  <c r="W20" i="31" s="1"/>
  <c r="S20" i="31"/>
  <c r="T20" i="31" s="1"/>
  <c r="L20" i="31"/>
  <c r="K20" i="31"/>
  <c r="N20" i="31"/>
  <c r="P20" i="31"/>
  <c r="Q20" i="31" s="1"/>
  <c r="N45" i="31"/>
  <c r="M45" i="31"/>
  <c r="P45" i="31"/>
  <c r="Q45" i="31" s="1"/>
  <c r="V45" i="31"/>
  <c r="W45" i="31" s="1"/>
  <c r="K45" i="31"/>
  <c r="Y45" i="31"/>
  <c r="Z45" i="31" s="1"/>
  <c r="L45" i="31"/>
  <c r="S45" i="31"/>
  <c r="T45" i="31" s="1"/>
  <c r="M13" i="28"/>
  <c r="V13" i="28"/>
  <c r="W13" i="28" s="1"/>
  <c r="K13" i="28"/>
  <c r="Y13" i="28"/>
  <c r="Z13" i="28" s="1"/>
  <c r="N13" i="28"/>
  <c r="L13" i="28"/>
  <c r="S13" i="28"/>
  <c r="T13" i="28" s="1"/>
  <c r="P13" i="28"/>
  <c r="Q13" i="28" s="1"/>
  <c r="K98" i="31"/>
  <c r="L98" i="31"/>
  <c r="Y98" i="31"/>
  <c r="Z98" i="31" s="1"/>
  <c r="P98" i="31"/>
  <c r="Q98" i="31" s="1"/>
  <c r="S98" i="31"/>
  <c r="T98" i="31" s="1"/>
  <c r="V98" i="31"/>
  <c r="W98" i="31" s="1"/>
  <c r="N98" i="31"/>
  <c r="M98" i="31"/>
  <c r="Y52" i="28"/>
  <c r="Z52" i="28" s="1"/>
  <c r="S52" i="28"/>
  <c r="T52" i="28" s="1"/>
  <c r="P76" i="31"/>
  <c r="Q76" i="31" s="1"/>
  <c r="Y76" i="31"/>
  <c r="Z76" i="31" s="1"/>
  <c r="S76" i="31"/>
  <c r="T76" i="31" s="1"/>
  <c r="N76" i="31"/>
  <c r="M76" i="31"/>
  <c r="L76" i="31"/>
  <c r="V76" i="31"/>
  <c r="W76" i="31" s="1"/>
  <c r="K76" i="31"/>
  <c r="K108" i="28"/>
  <c r="V108" i="28"/>
  <c r="W108" i="28" s="1"/>
  <c r="P108" i="28"/>
  <c r="Q108" i="28" s="1"/>
  <c r="S108" i="28"/>
  <c r="T108" i="28" s="1"/>
  <c r="N108" i="28"/>
  <c r="Y108" i="28"/>
  <c r="Z108" i="28" s="1"/>
  <c r="M108" i="28"/>
  <c r="L108" i="28"/>
  <c r="Y38" i="31"/>
  <c r="Z38" i="31" s="1"/>
  <c r="M38" i="31"/>
  <c r="S38" i="31"/>
  <c r="T38" i="31" s="1"/>
  <c r="P38" i="31"/>
  <c r="Q38" i="31" s="1"/>
  <c r="N38" i="31"/>
  <c r="L38" i="31"/>
  <c r="K38" i="31"/>
  <c r="V38" i="31"/>
  <c r="W38" i="31" s="1"/>
  <c r="S129" i="28"/>
  <c r="T129" i="28" s="1"/>
  <c r="V129" i="28"/>
  <c r="W129" i="28" s="1"/>
  <c r="K129" i="28"/>
  <c r="N129" i="28"/>
  <c r="M129" i="28"/>
  <c r="P129" i="28"/>
  <c r="Q129" i="28" s="1"/>
  <c r="Y129" i="28"/>
  <c r="Z129" i="28" s="1"/>
  <c r="L129" i="28"/>
  <c r="M124" i="28"/>
  <c r="Y124" i="28"/>
  <c r="Z124" i="28" s="1"/>
  <c r="L124" i="28"/>
  <c r="V124" i="28"/>
  <c r="W124" i="28" s="1"/>
  <c r="K124" i="28"/>
  <c r="N124" i="28"/>
  <c r="S124" i="28"/>
  <c r="T124" i="28" s="1"/>
  <c r="P124" i="28"/>
  <c r="Q124" i="28" s="1"/>
  <c r="S110" i="31"/>
  <c r="T110" i="31" s="1"/>
  <c r="M110" i="31"/>
  <c r="L110" i="31"/>
  <c r="V110" i="31"/>
  <c r="W110" i="31" s="1"/>
  <c r="K110" i="31"/>
  <c r="P110" i="31"/>
  <c r="Q110" i="31" s="1"/>
  <c r="N110" i="31"/>
  <c r="Y110" i="31"/>
  <c r="Z110" i="31" s="1"/>
  <c r="M47" i="28"/>
  <c r="Y47" i="28"/>
  <c r="Z47" i="28" s="1"/>
  <c r="S47" i="28"/>
  <c r="T47" i="28" s="1"/>
  <c r="V47" i="28"/>
  <c r="W47" i="28" s="1"/>
  <c r="L47" i="28"/>
  <c r="N47" i="28"/>
  <c r="K47" i="28"/>
  <c r="P47" i="28"/>
  <c r="Q47" i="28" s="1"/>
  <c r="N69" i="31"/>
  <c r="M69" i="31"/>
  <c r="S69" i="31"/>
  <c r="T69" i="31" s="1"/>
  <c r="P69" i="31"/>
  <c r="Q69" i="31" s="1"/>
  <c r="L69" i="31"/>
  <c r="V69" i="31"/>
  <c r="W69" i="31" s="1"/>
  <c r="K69" i="31"/>
  <c r="Y69" i="31"/>
  <c r="Z69" i="31" s="1"/>
  <c r="S84" i="31"/>
  <c r="T84" i="31" s="1"/>
  <c r="Y84" i="31"/>
  <c r="Z84" i="31" s="1"/>
  <c r="P105" i="31"/>
  <c r="Q105" i="31" s="1"/>
  <c r="M105" i="31"/>
  <c r="Y105" i="31"/>
  <c r="Z105" i="31" s="1"/>
  <c r="S105" i="31"/>
  <c r="T105" i="31" s="1"/>
  <c r="L105" i="31"/>
  <c r="V105" i="31"/>
  <c r="W105" i="31" s="1"/>
  <c r="K105" i="31"/>
  <c r="N105" i="31"/>
  <c r="P50" i="28"/>
  <c r="Q50" i="28" s="1"/>
  <c r="S50" i="28"/>
  <c r="T50" i="28" s="1"/>
  <c r="N50" i="28"/>
  <c r="M50" i="28"/>
  <c r="L50" i="28"/>
  <c r="Y50" i="28"/>
  <c r="Z50" i="28" s="1"/>
  <c r="V50" i="28"/>
  <c r="W50" i="28" s="1"/>
  <c r="K50" i="28"/>
  <c r="S125" i="28"/>
  <c r="T125" i="28" s="1"/>
  <c r="N125" i="28"/>
  <c r="M125" i="28"/>
  <c r="L125" i="28"/>
  <c r="Y125" i="28"/>
  <c r="Z125" i="28" s="1"/>
  <c r="V125" i="28"/>
  <c r="W125" i="28" s="1"/>
  <c r="K125" i="28"/>
  <c r="P125" i="28"/>
  <c r="Q125" i="28" s="1"/>
  <c r="P139" i="28"/>
  <c r="Q139" i="28" s="1"/>
  <c r="M139" i="28"/>
  <c r="L139" i="28"/>
  <c r="K139" i="28"/>
  <c r="S139" i="28"/>
  <c r="T139" i="28" s="1"/>
  <c r="V139" i="28"/>
  <c r="W139" i="28" s="1"/>
  <c r="N139" i="28"/>
  <c r="Y139" i="28"/>
  <c r="Z139" i="28" s="1"/>
  <c r="V44" i="31"/>
  <c r="W44" i="31" s="1"/>
  <c r="S44" i="31"/>
  <c r="T44" i="31" s="1"/>
  <c r="N44" i="31"/>
  <c r="Y44" i="31"/>
  <c r="Z44" i="31" s="1"/>
  <c r="L44" i="31"/>
  <c r="K44" i="31"/>
  <c r="P44" i="31"/>
  <c r="Q44" i="31" s="1"/>
  <c r="M44" i="31"/>
  <c r="P43" i="31"/>
  <c r="Q43" i="31" s="1"/>
  <c r="L43" i="31"/>
  <c r="K43" i="31"/>
  <c r="N43" i="31"/>
  <c r="Y43" i="31"/>
  <c r="Z43" i="31" s="1"/>
  <c r="M43" i="31"/>
  <c r="S43" i="31"/>
  <c r="T43" i="31" s="1"/>
  <c r="V43" i="31"/>
  <c r="W43" i="31" s="1"/>
  <c r="P127" i="28"/>
  <c r="Q127" i="28" s="1"/>
  <c r="V127" i="28"/>
  <c r="W127" i="28" s="1"/>
  <c r="K127" i="28"/>
  <c r="S127" i="28"/>
  <c r="T127" i="28" s="1"/>
  <c r="Y127" i="28"/>
  <c r="Z127" i="28" s="1"/>
  <c r="L127" i="28"/>
  <c r="N127" i="28"/>
  <c r="M127" i="28"/>
  <c r="N129" i="31"/>
  <c r="M129" i="31"/>
  <c r="S129" i="31"/>
  <c r="T129" i="31" s="1"/>
  <c r="P129" i="31"/>
  <c r="Q129" i="31" s="1"/>
  <c r="V129" i="31"/>
  <c r="W129" i="31" s="1"/>
  <c r="K129" i="31"/>
  <c r="L129" i="31"/>
  <c r="Y129" i="31"/>
  <c r="Z129" i="31" s="1"/>
  <c r="K81" i="31"/>
  <c r="P81" i="31"/>
  <c r="Q81" i="31" s="1"/>
  <c r="N81" i="31"/>
  <c r="M81" i="31"/>
  <c r="S81" i="31"/>
  <c r="T81" i="31" s="1"/>
  <c r="Y81" i="31"/>
  <c r="Z81" i="31" s="1"/>
  <c r="L81" i="31"/>
  <c r="V81" i="31"/>
  <c r="W81" i="31" s="1"/>
  <c r="L14" i="31"/>
  <c r="V14" i="31"/>
  <c r="W14" i="31" s="1"/>
  <c r="Y14" i="31"/>
  <c r="Z14" i="31" s="1"/>
  <c r="N14" i="31"/>
  <c r="M14" i="31"/>
  <c r="K14" i="31"/>
  <c r="S14" i="31"/>
  <c r="T14" i="31" s="1"/>
  <c r="P14" i="31"/>
  <c r="Q14" i="31" s="1"/>
  <c r="Y66" i="28"/>
  <c r="Z66" i="28" s="1"/>
  <c r="L66" i="28"/>
  <c r="M66" i="28"/>
  <c r="V66" i="28"/>
  <c r="W66" i="28" s="1"/>
  <c r="N66" i="28"/>
  <c r="K66" i="28"/>
  <c r="P66" i="28"/>
  <c r="Q66" i="28" s="1"/>
  <c r="S66" i="28"/>
  <c r="T66" i="28" s="1"/>
  <c r="P53" i="31"/>
  <c r="Q53" i="31" s="1"/>
  <c r="V53" i="31"/>
  <c r="W53" i="31" s="1"/>
  <c r="K53" i="31"/>
  <c r="S53" i="31"/>
  <c r="T53" i="31" s="1"/>
  <c r="N53" i="31"/>
  <c r="M53" i="31"/>
  <c r="Y53" i="31"/>
  <c r="Z53" i="31" s="1"/>
  <c r="L53" i="31"/>
  <c r="S47" i="31"/>
  <c r="T47" i="31" s="1"/>
  <c r="V47" i="31"/>
  <c r="W47" i="31" s="1"/>
  <c r="P47" i="31"/>
  <c r="Q47" i="31" s="1"/>
  <c r="N47" i="31"/>
  <c r="Y47" i="31"/>
  <c r="Z47" i="31" s="1"/>
  <c r="M47" i="31"/>
  <c r="K47" i="31"/>
  <c r="L47" i="31"/>
  <c r="Y141" i="28"/>
  <c r="Z141" i="28" s="1"/>
  <c r="S141" i="28"/>
  <c r="T141" i="28" s="1"/>
  <c r="L10" i="28"/>
  <c r="V10" i="28"/>
  <c r="W10" i="28" s="1"/>
  <c r="S10" i="28"/>
  <c r="T10" i="28" s="1"/>
  <c r="P10" i="28"/>
  <c r="Q10" i="28" s="1"/>
  <c r="N10" i="28"/>
  <c r="M10" i="28"/>
  <c r="K10" i="28"/>
  <c r="Y10" i="28"/>
  <c r="Z10" i="28" s="1"/>
  <c r="E21" i="19"/>
  <c r="F21" i="19" s="1"/>
  <c r="M21" i="19" s="1"/>
  <c r="Y99" i="28"/>
  <c r="Z99" i="28" s="1"/>
  <c r="P99" i="28"/>
  <c r="Q99" i="28" s="1"/>
  <c r="N99" i="28"/>
  <c r="M99" i="28"/>
  <c r="K99" i="28"/>
  <c r="S99" i="28"/>
  <c r="T99" i="28" s="1"/>
  <c r="L99" i="28"/>
  <c r="V99" i="28"/>
  <c r="W99" i="28" s="1"/>
  <c r="M48" i="28"/>
  <c r="K48" i="28"/>
  <c r="V48" i="28"/>
  <c r="W48" i="28" s="1"/>
  <c r="S48" i="28"/>
  <c r="T48" i="28" s="1"/>
  <c r="N48" i="28"/>
  <c r="P48" i="28"/>
  <c r="Q48" i="28" s="1"/>
  <c r="Y48" i="28"/>
  <c r="Z48" i="28" s="1"/>
  <c r="L48" i="28"/>
  <c r="M21" i="31"/>
  <c r="S21" i="31"/>
  <c r="T21" i="31" s="1"/>
  <c r="L21" i="31"/>
  <c r="V21" i="31"/>
  <c r="W21" i="31" s="1"/>
  <c r="K21" i="31"/>
  <c r="P21" i="31"/>
  <c r="Q21" i="31" s="1"/>
  <c r="N21" i="31"/>
  <c r="Y21" i="31"/>
  <c r="Z21" i="31" s="1"/>
  <c r="M41" i="31"/>
  <c r="Y41" i="31"/>
  <c r="Z41" i="31" s="1"/>
  <c r="S41" i="31"/>
  <c r="T41" i="31" s="1"/>
  <c r="P41" i="31"/>
  <c r="Q41" i="31" s="1"/>
  <c r="N41" i="31"/>
  <c r="L41" i="31"/>
  <c r="V41" i="31"/>
  <c r="W41" i="31" s="1"/>
  <c r="K41" i="31"/>
  <c r="S36" i="28"/>
  <c r="T36" i="28" s="1"/>
  <c r="P36" i="28"/>
  <c r="Q36" i="28" s="1"/>
  <c r="Y36" i="28"/>
  <c r="Z36" i="28" s="1"/>
  <c r="L36" i="28"/>
  <c r="M36" i="28"/>
  <c r="N36" i="28"/>
  <c r="K36" i="28"/>
  <c r="V36" i="28"/>
  <c r="W36" i="28" s="1"/>
  <c r="N138" i="28"/>
  <c r="P138" i="28"/>
  <c r="Q138" i="28" s="1"/>
  <c r="K138" i="28"/>
  <c r="S138" i="28"/>
  <c r="T138" i="28" s="1"/>
  <c r="M138" i="28"/>
  <c r="L138" i="28"/>
  <c r="V138" i="28"/>
  <c r="W138" i="28" s="1"/>
  <c r="Y138" i="28"/>
  <c r="Z138" i="28" s="1"/>
  <c r="V106" i="31"/>
  <c r="W106" i="31" s="1"/>
  <c r="K106" i="31"/>
  <c r="M106" i="31"/>
  <c r="L106" i="31"/>
  <c r="S106" i="31"/>
  <c r="T106" i="31" s="1"/>
  <c r="P106" i="31"/>
  <c r="Q106" i="31" s="1"/>
  <c r="N106" i="31"/>
  <c r="Y106" i="31"/>
  <c r="Z106" i="31" s="1"/>
  <c r="M101" i="28"/>
  <c r="Y101" i="28"/>
  <c r="Z101" i="28" s="1"/>
  <c r="L101" i="28"/>
  <c r="S101" i="28"/>
  <c r="T101" i="28" s="1"/>
  <c r="K101" i="28"/>
  <c r="V101" i="28"/>
  <c r="W101" i="28" s="1"/>
  <c r="P101" i="28"/>
  <c r="Q101" i="28" s="1"/>
  <c r="N101" i="28"/>
  <c r="S13" i="31"/>
  <c r="T13" i="31" s="1"/>
  <c r="Y13" i="31"/>
  <c r="Z13" i="31" s="1"/>
  <c r="L13" i="31"/>
  <c r="V13" i="31"/>
  <c r="W13" i="31" s="1"/>
  <c r="K13" i="31"/>
  <c r="P13" i="31"/>
  <c r="Q13" i="31" s="1"/>
  <c r="N13" i="31"/>
  <c r="M13" i="31"/>
  <c r="Y114" i="31"/>
  <c r="Z114" i="31" s="1"/>
  <c r="S114" i="31"/>
  <c r="T114" i="31" s="1"/>
  <c r="M40" i="31"/>
  <c r="L40" i="31"/>
  <c r="K40" i="31"/>
  <c r="Y40" i="31"/>
  <c r="Z40" i="31" s="1"/>
  <c r="P40" i="31"/>
  <c r="Q40" i="31" s="1"/>
  <c r="N40" i="31"/>
  <c r="V40" i="31"/>
  <c r="W40" i="31" s="1"/>
  <c r="S40" i="31"/>
  <c r="T40" i="31" s="1"/>
  <c r="Y23" i="28"/>
  <c r="Z23" i="28" s="1"/>
  <c r="S23" i="28"/>
  <c r="T23" i="28" s="1"/>
  <c r="M22" i="19"/>
  <c r="Y46" i="31"/>
  <c r="Z46" i="31" s="1"/>
  <c r="K46" i="31"/>
  <c r="L46" i="31"/>
  <c r="V46" i="31"/>
  <c r="W46" i="31" s="1"/>
  <c r="S46" i="31"/>
  <c r="T46" i="31" s="1"/>
  <c r="P46" i="31"/>
  <c r="Q46" i="31" s="1"/>
  <c r="N46" i="31"/>
  <c r="M46" i="31"/>
  <c r="P98" i="28"/>
  <c r="Q98" i="28" s="1"/>
  <c r="Y98" i="28"/>
  <c r="Z98" i="28" s="1"/>
  <c r="M98" i="28"/>
  <c r="L98" i="28"/>
  <c r="V98" i="28"/>
  <c r="W98" i="28" s="1"/>
  <c r="S98" i="28"/>
  <c r="T98" i="28" s="1"/>
  <c r="K98" i="28"/>
  <c r="N98" i="28"/>
  <c r="Y21" i="28"/>
  <c r="Z21" i="28" s="1"/>
  <c r="K21" i="28"/>
  <c r="V21" i="28"/>
  <c r="W21" i="28" s="1"/>
  <c r="P21" i="28"/>
  <c r="Q21" i="28" s="1"/>
  <c r="M21" i="28"/>
  <c r="S21" i="28"/>
  <c r="T21" i="28" s="1"/>
  <c r="L21" i="28"/>
  <c r="N21" i="28"/>
  <c r="S14" i="28"/>
  <c r="T14" i="28" s="1"/>
  <c r="P14" i="28"/>
  <c r="Q14" i="28" s="1"/>
  <c r="K14" i="28"/>
  <c r="V14" i="28"/>
  <c r="W14" i="28" s="1"/>
  <c r="L14" i="28"/>
  <c r="N14" i="28"/>
  <c r="Y14" i="28"/>
  <c r="Z14" i="28" s="1"/>
  <c r="M14" i="28"/>
  <c r="S102" i="31"/>
  <c r="T102" i="31" s="1"/>
  <c r="N102" i="31"/>
  <c r="V102" i="31"/>
  <c r="W102" i="31" s="1"/>
  <c r="K102" i="31"/>
  <c r="L102" i="31"/>
  <c r="P102" i="31"/>
  <c r="Q102" i="31" s="1"/>
  <c r="Y102" i="31"/>
  <c r="Z102" i="31" s="1"/>
  <c r="M102" i="31"/>
  <c r="Y25" i="31"/>
  <c r="Z25" i="31" s="1"/>
  <c r="S25" i="31"/>
  <c r="T25" i="31" s="1"/>
  <c r="Y19" i="28"/>
  <c r="Z19" i="28" s="1"/>
  <c r="S19" i="28"/>
  <c r="T19" i="28" s="1"/>
  <c r="L19" i="28"/>
  <c r="K19" i="28"/>
  <c r="V19" i="28"/>
  <c r="W19" i="28" s="1"/>
  <c r="P19" i="28"/>
  <c r="Q19" i="28" s="1"/>
  <c r="N19" i="28"/>
  <c r="M19" i="28"/>
  <c r="V15" i="28"/>
  <c r="W15" i="28" s="1"/>
  <c r="M15" i="28"/>
  <c r="P15" i="28"/>
  <c r="Q15" i="28" s="1"/>
  <c r="S15" i="28"/>
  <c r="T15" i="28" s="1"/>
  <c r="L15" i="28"/>
  <c r="N15" i="28"/>
  <c r="Y15" i="28"/>
  <c r="Z15" i="28" s="1"/>
  <c r="K15" i="28"/>
  <c r="S106" i="28"/>
  <c r="T106" i="28" s="1"/>
  <c r="N106" i="28"/>
  <c r="Y106" i="28"/>
  <c r="Z106" i="28" s="1"/>
  <c r="M106" i="28"/>
  <c r="L106" i="28"/>
  <c r="V106" i="28"/>
  <c r="W106" i="28" s="1"/>
  <c r="K106" i="28"/>
  <c r="P106" i="28"/>
  <c r="Q106" i="28" s="1"/>
  <c r="K8" i="28"/>
  <c r="V8" i="28"/>
  <c r="W8" i="28" s="1"/>
  <c r="P8" i="28"/>
  <c r="Q8" i="28" s="1"/>
  <c r="M8" i="28"/>
  <c r="L8" i="28"/>
  <c r="Y8" i="28"/>
  <c r="Z8" i="28" s="1"/>
  <c r="N8" i="28"/>
  <c r="S8" i="28"/>
  <c r="T8" i="28" s="1"/>
  <c r="S12" i="31"/>
  <c r="T12" i="31" s="1"/>
  <c r="K12" i="31"/>
  <c r="Y12" i="31"/>
  <c r="Z12" i="31" s="1"/>
  <c r="M12" i="31"/>
  <c r="N12" i="31"/>
  <c r="V12" i="31"/>
  <c r="W12" i="31" s="1"/>
  <c r="L12" i="31"/>
  <c r="P12" i="31"/>
  <c r="Q12" i="31" s="1"/>
  <c r="Y113" i="31"/>
  <c r="Z113" i="31" s="1"/>
  <c r="S113" i="31"/>
  <c r="T113" i="31" s="1"/>
  <c r="S144" i="31"/>
  <c r="T144" i="31" s="1"/>
  <c r="Y144" i="31"/>
  <c r="Z144" i="31" s="1"/>
  <c r="K134" i="31"/>
  <c r="S134" i="31"/>
  <c r="T134" i="31" s="1"/>
  <c r="L134" i="31"/>
  <c r="Y134" i="31"/>
  <c r="Z134" i="31" s="1"/>
  <c r="V134" i="31"/>
  <c r="W134" i="31" s="1"/>
  <c r="P134" i="31"/>
  <c r="Q134" i="31" s="1"/>
  <c r="N134" i="31"/>
  <c r="M134" i="31"/>
  <c r="L12" i="28"/>
  <c r="V12" i="28"/>
  <c r="W12" i="28" s="1"/>
  <c r="M12" i="28"/>
  <c r="K12" i="28"/>
  <c r="Y12" i="28"/>
  <c r="Z12" i="28" s="1"/>
  <c r="S12" i="28"/>
  <c r="T12" i="28" s="1"/>
  <c r="N12" i="28"/>
  <c r="P12" i="28"/>
  <c r="Q12" i="28" s="1"/>
  <c r="M70" i="31"/>
  <c r="P70" i="31"/>
  <c r="Q70" i="31" s="1"/>
  <c r="N70" i="31"/>
  <c r="L70" i="31"/>
  <c r="K70" i="31"/>
  <c r="V70" i="31"/>
  <c r="W70" i="31" s="1"/>
  <c r="S70" i="31"/>
  <c r="T70" i="31" s="1"/>
  <c r="Y70" i="31"/>
  <c r="Z70" i="31" s="1"/>
  <c r="S96" i="28"/>
  <c r="T96" i="28" s="1"/>
  <c r="K96" i="28"/>
  <c r="P96" i="28"/>
  <c r="Q96" i="28" s="1"/>
  <c r="N96" i="28"/>
  <c r="M96" i="28"/>
  <c r="L96" i="28"/>
  <c r="Y96" i="28"/>
  <c r="Z96" i="28" s="1"/>
  <c r="V96" i="28"/>
  <c r="W96" i="28" s="1"/>
  <c r="L51" i="28"/>
  <c r="P51" i="28"/>
  <c r="Q51" i="28" s="1"/>
  <c r="M51" i="28"/>
  <c r="Y51" i="28"/>
  <c r="Z51" i="28" s="1"/>
  <c r="V51" i="28"/>
  <c r="W51" i="28" s="1"/>
  <c r="K51" i="28"/>
  <c r="N51" i="28"/>
  <c r="S51" i="28"/>
  <c r="T51" i="28" s="1"/>
  <c r="Y75" i="31"/>
  <c r="Z75" i="31" s="1"/>
  <c r="V75" i="31"/>
  <c r="W75" i="31" s="1"/>
  <c r="N75" i="31"/>
  <c r="S75" i="31"/>
  <c r="T75" i="31" s="1"/>
  <c r="P75" i="31"/>
  <c r="Q75" i="31" s="1"/>
  <c r="M75" i="31"/>
  <c r="L75" i="31"/>
  <c r="K75" i="31"/>
  <c r="M101" i="31"/>
  <c r="L101" i="31"/>
  <c r="V101" i="31"/>
  <c r="W101" i="31" s="1"/>
  <c r="S101" i="31"/>
  <c r="T101" i="31" s="1"/>
  <c r="K101" i="31"/>
  <c r="Y101" i="31"/>
  <c r="Z101" i="31" s="1"/>
  <c r="N101" i="31"/>
  <c r="P101" i="31"/>
  <c r="Q101" i="31" s="1"/>
  <c r="P68" i="28"/>
  <c r="Q68" i="28" s="1"/>
  <c r="M68" i="28"/>
  <c r="N68" i="28"/>
  <c r="V68" i="28"/>
  <c r="W68" i="28" s="1"/>
  <c r="W83" i="28" s="1"/>
  <c r="W84" i="28" s="1"/>
  <c r="S68" i="28"/>
  <c r="T68" i="28" s="1"/>
  <c r="Y68" i="28"/>
  <c r="Z68" i="28" s="1"/>
  <c r="Z83" i="28" s="1"/>
  <c r="Z84" i="28" s="1"/>
  <c r="L68" i="28"/>
  <c r="K68" i="28"/>
  <c r="V74" i="28"/>
  <c r="W74" i="28" s="1"/>
  <c r="N74" i="28"/>
  <c r="Y74" i="28"/>
  <c r="Z74" i="28" s="1"/>
  <c r="K74" i="28"/>
  <c r="S74" i="28"/>
  <c r="T74" i="28" s="1"/>
  <c r="M74" i="28"/>
  <c r="P74" i="28"/>
  <c r="Q74" i="28" s="1"/>
  <c r="L74" i="28"/>
  <c r="Y17" i="28"/>
  <c r="Z17" i="28" s="1"/>
  <c r="M17" i="28"/>
  <c r="L17" i="28"/>
  <c r="V17" i="28"/>
  <c r="W17" i="28" s="1"/>
  <c r="K17" i="28"/>
  <c r="P17" i="28"/>
  <c r="Q17" i="28" s="1"/>
  <c r="N17" i="28"/>
  <c r="S17" i="28"/>
  <c r="T17" i="28" s="1"/>
  <c r="S40" i="28"/>
  <c r="T40" i="28" s="1"/>
  <c r="L40" i="28"/>
  <c r="K40" i="28"/>
  <c r="V40" i="28"/>
  <c r="W40" i="28" s="1"/>
  <c r="P40" i="28"/>
  <c r="Q40" i="28" s="1"/>
  <c r="N40" i="28"/>
  <c r="M40" i="28"/>
  <c r="Y40" i="28"/>
  <c r="Z40" i="28" s="1"/>
  <c r="S133" i="31"/>
  <c r="T133" i="31" s="1"/>
  <c r="N133" i="31"/>
  <c r="Y133" i="31"/>
  <c r="Z133" i="31" s="1"/>
  <c r="M133" i="31"/>
  <c r="K133" i="31"/>
  <c r="P133" i="31"/>
  <c r="Q133" i="31" s="1"/>
  <c r="L133" i="31"/>
  <c r="V133" i="31"/>
  <c r="W133" i="31" s="1"/>
  <c r="Y100" i="31"/>
  <c r="Z100" i="31" s="1"/>
  <c r="M100" i="31"/>
  <c r="L100" i="31"/>
  <c r="S100" i="31"/>
  <c r="T100" i="31" s="1"/>
  <c r="P100" i="31"/>
  <c r="Q100" i="31" s="1"/>
  <c r="N100" i="31"/>
  <c r="V100" i="31"/>
  <c r="W100" i="31" s="1"/>
  <c r="K100" i="31"/>
  <c r="M109" i="28"/>
  <c r="N109" i="28"/>
  <c r="Y109" i="28"/>
  <c r="Z109" i="28" s="1"/>
  <c r="L109" i="28"/>
  <c r="V109" i="28"/>
  <c r="W109" i="28" s="1"/>
  <c r="S109" i="28"/>
  <c r="T109" i="28" s="1"/>
  <c r="K109" i="28"/>
  <c r="P109" i="28"/>
  <c r="Q109" i="28" s="1"/>
  <c r="S41" i="28"/>
  <c r="T41" i="28" s="1"/>
  <c r="N41" i="28"/>
  <c r="L41" i="28"/>
  <c r="M41" i="28"/>
  <c r="Y41" i="28"/>
  <c r="Z41" i="28" s="1"/>
  <c r="K41" i="28"/>
  <c r="V41" i="28"/>
  <c r="W41" i="28" s="1"/>
  <c r="P41" i="28"/>
  <c r="Q41" i="28" s="1"/>
  <c r="L73" i="31"/>
  <c r="V73" i="31"/>
  <c r="W73" i="31" s="1"/>
  <c r="K73" i="31"/>
  <c r="Y73" i="31"/>
  <c r="Z73" i="31" s="1"/>
  <c r="S73" i="31"/>
  <c r="T73" i="31" s="1"/>
  <c r="P73" i="31"/>
  <c r="Q73" i="31" s="1"/>
  <c r="N73" i="31"/>
  <c r="M73" i="31"/>
  <c r="N22" i="31"/>
  <c r="Y22" i="31"/>
  <c r="Z22" i="31" s="1"/>
  <c r="M22" i="31"/>
  <c r="K22" i="31"/>
  <c r="V22" i="31"/>
  <c r="W22" i="31" s="1"/>
  <c r="S22" i="31"/>
  <c r="T22" i="31" s="1"/>
  <c r="P22" i="31"/>
  <c r="Q22" i="31" s="1"/>
  <c r="L22" i="31"/>
  <c r="N45" i="28"/>
  <c r="M45" i="28"/>
  <c r="L45" i="28"/>
  <c r="K45" i="28"/>
  <c r="V45" i="28"/>
  <c r="W45" i="28" s="1"/>
  <c r="S45" i="28"/>
  <c r="T45" i="28" s="1"/>
  <c r="Y45" i="28"/>
  <c r="Z45" i="28" s="1"/>
  <c r="P45" i="28"/>
  <c r="Q45" i="28" s="1"/>
  <c r="V135" i="28"/>
  <c r="W135" i="28" s="1"/>
  <c r="N135" i="28"/>
  <c r="Y135" i="28"/>
  <c r="Z135" i="28" s="1"/>
  <c r="M135" i="28"/>
  <c r="L135" i="28"/>
  <c r="S135" i="28"/>
  <c r="T135" i="28" s="1"/>
  <c r="K135" i="28"/>
  <c r="P135" i="28"/>
  <c r="Q135" i="28" s="1"/>
  <c r="M140" i="31"/>
  <c r="V140" i="31"/>
  <c r="W140" i="31" s="1"/>
  <c r="L140" i="31"/>
  <c r="K140" i="31"/>
  <c r="P140" i="31"/>
  <c r="Q140" i="31" s="1"/>
  <c r="N140" i="31"/>
  <c r="Y140" i="31"/>
  <c r="Z140" i="31" s="1"/>
  <c r="S140" i="31"/>
  <c r="T140" i="31" s="1"/>
  <c r="K74" i="31"/>
  <c r="Y74" i="31"/>
  <c r="Z74" i="31" s="1"/>
  <c r="V74" i="31"/>
  <c r="W74" i="31" s="1"/>
  <c r="P74" i="31"/>
  <c r="Q74" i="31" s="1"/>
  <c r="S74" i="31"/>
  <c r="T74" i="31" s="1"/>
  <c r="L74" i="31"/>
  <c r="N74" i="31"/>
  <c r="M74" i="31"/>
  <c r="S73" i="28"/>
  <c r="T73" i="28" s="1"/>
  <c r="K73" i="28"/>
  <c r="N73" i="28"/>
  <c r="V73" i="28"/>
  <c r="W73" i="28" s="1"/>
  <c r="M73" i="28"/>
  <c r="L73" i="28"/>
  <c r="Y73" i="28"/>
  <c r="Z73" i="28" s="1"/>
  <c r="P73" i="28"/>
  <c r="Q73" i="28" s="1"/>
  <c r="S140" i="28"/>
  <c r="T140" i="28" s="1"/>
  <c r="Y140" i="28"/>
  <c r="Z140" i="28" s="1"/>
  <c r="K77" i="31"/>
  <c r="P77" i="31"/>
  <c r="Q77" i="31" s="1"/>
  <c r="N77" i="31"/>
  <c r="Y77" i="31"/>
  <c r="Z77" i="31" s="1"/>
  <c r="M77" i="31"/>
  <c r="V77" i="31"/>
  <c r="W77" i="31" s="1"/>
  <c r="S77" i="31"/>
  <c r="T77" i="31" s="1"/>
  <c r="L77" i="31"/>
  <c r="V134" i="28"/>
  <c r="W134" i="28" s="1"/>
  <c r="M134" i="28"/>
  <c r="L134" i="28"/>
  <c r="K134" i="28"/>
  <c r="S134" i="28"/>
  <c r="T134" i="28" s="1"/>
  <c r="P134" i="28"/>
  <c r="Q134" i="28" s="1"/>
  <c r="Y134" i="28"/>
  <c r="Z134" i="28" s="1"/>
  <c r="N134" i="28"/>
  <c r="N18" i="31"/>
  <c r="Y18" i="31"/>
  <c r="Z18" i="31" s="1"/>
  <c r="M18" i="31"/>
  <c r="L18" i="31"/>
  <c r="V18" i="31"/>
  <c r="W18" i="31" s="1"/>
  <c r="K18" i="31"/>
  <c r="S18" i="31"/>
  <c r="T18" i="31" s="1"/>
  <c r="P18" i="31"/>
  <c r="Q18" i="31" s="1"/>
  <c r="K70" i="28"/>
  <c r="V70" i="28"/>
  <c r="W70" i="28" s="1"/>
  <c r="M70" i="28"/>
  <c r="S70" i="28"/>
  <c r="T70" i="28" s="1"/>
  <c r="T83" i="28" s="1"/>
  <c r="T84" i="28" s="1"/>
  <c r="L70" i="28"/>
  <c r="P70" i="28"/>
  <c r="Q70" i="28" s="1"/>
  <c r="N70" i="28"/>
  <c r="Y70" i="28"/>
  <c r="Z70" i="28" s="1"/>
  <c r="S19" i="31"/>
  <c r="T19" i="31" s="1"/>
  <c r="Y19" i="31"/>
  <c r="Z19" i="31" s="1"/>
  <c r="M19" i="31"/>
  <c r="K19" i="31"/>
  <c r="P19" i="31"/>
  <c r="Q19" i="31" s="1"/>
  <c r="N19" i="31"/>
  <c r="V19" i="31"/>
  <c r="W19" i="31" s="1"/>
  <c r="L19" i="31"/>
  <c r="V131" i="31"/>
  <c r="W131" i="31" s="1"/>
  <c r="K131" i="31"/>
  <c r="S131" i="31"/>
  <c r="T131" i="31" s="1"/>
  <c r="Y131" i="31"/>
  <c r="Z131" i="31" s="1"/>
  <c r="M131" i="31"/>
  <c r="P131" i="31"/>
  <c r="Q131" i="31" s="1"/>
  <c r="L131" i="31"/>
  <c r="N131" i="31"/>
  <c r="L95" i="28"/>
  <c r="V95" i="28"/>
  <c r="W95" i="28" s="1"/>
  <c r="K95" i="28"/>
  <c r="S95" i="28"/>
  <c r="T95" i="28" s="1"/>
  <c r="M95" i="28"/>
  <c r="P95" i="28"/>
  <c r="Q95" i="28" s="1"/>
  <c r="N95" i="28"/>
  <c r="Y95" i="28"/>
  <c r="Z95" i="28" s="1"/>
  <c r="S55" i="31"/>
  <c r="T55" i="31" s="1"/>
  <c r="Y55" i="31"/>
  <c r="Z55" i="31" s="1"/>
  <c r="S85" i="31"/>
  <c r="T85" i="31" s="1"/>
  <c r="Y85" i="31"/>
  <c r="Z85" i="31" s="1"/>
  <c r="M49" i="31"/>
  <c r="S49" i="31"/>
  <c r="T49" i="31" s="1"/>
  <c r="L49" i="31"/>
  <c r="K49" i="31"/>
  <c r="P49" i="31"/>
  <c r="Q49" i="31" s="1"/>
  <c r="N49" i="31"/>
  <c r="Y49" i="31"/>
  <c r="Z49" i="31" s="1"/>
  <c r="V49" i="31"/>
  <c r="W49" i="31" s="1"/>
  <c r="S9" i="31"/>
  <c r="T9" i="31" s="1"/>
  <c r="L9" i="31"/>
  <c r="V9" i="31"/>
  <c r="W9" i="31" s="1"/>
  <c r="M9" i="31"/>
  <c r="P9" i="31"/>
  <c r="Q9" i="31" s="1"/>
  <c r="N9" i="31"/>
  <c r="Y9" i="31"/>
  <c r="Z9" i="31" s="1"/>
  <c r="K9" i="31"/>
  <c r="Y126" i="28"/>
  <c r="Z126" i="28" s="1"/>
  <c r="S126" i="28"/>
  <c r="T126" i="28" s="1"/>
  <c r="N126" i="28"/>
  <c r="P126" i="28"/>
  <c r="Q126" i="28" s="1"/>
  <c r="M126" i="28"/>
  <c r="L126" i="28"/>
  <c r="K126" i="28"/>
  <c r="V126" i="28"/>
  <c r="W126" i="28" s="1"/>
  <c r="L39" i="31"/>
  <c r="Y39" i="31"/>
  <c r="Z39" i="31" s="1"/>
  <c r="K39" i="31"/>
  <c r="V39" i="31"/>
  <c r="W39" i="31" s="1"/>
  <c r="S39" i="31"/>
  <c r="T39" i="31" s="1"/>
  <c r="P39" i="31"/>
  <c r="Q39" i="31" s="1"/>
  <c r="M39" i="31"/>
  <c r="N39" i="31"/>
  <c r="Y141" i="31"/>
  <c r="Z141" i="31" s="1"/>
  <c r="M141" i="31"/>
  <c r="S141" i="31"/>
  <c r="T141" i="31" s="1"/>
  <c r="N141" i="31"/>
  <c r="P141" i="31"/>
  <c r="Q141" i="31" s="1"/>
  <c r="L141" i="31"/>
  <c r="V141" i="31"/>
  <c r="W141" i="31" s="1"/>
  <c r="K141" i="31"/>
  <c r="V132" i="31"/>
  <c r="W132" i="31" s="1"/>
  <c r="S132" i="31"/>
  <c r="T132" i="31" s="1"/>
  <c r="P132" i="31"/>
  <c r="Q132" i="31" s="1"/>
  <c r="N132" i="31"/>
  <c r="N145" i="31" s="1"/>
  <c r="Y132" i="31"/>
  <c r="Z132" i="31" s="1"/>
  <c r="M132" i="31"/>
  <c r="L132" i="31"/>
  <c r="K132" i="31"/>
  <c r="V71" i="31"/>
  <c r="W71" i="31" s="1"/>
  <c r="Y71" i="31"/>
  <c r="Z71" i="31" s="1"/>
  <c r="L71" i="31"/>
  <c r="P71" i="31"/>
  <c r="Q71" i="31" s="1"/>
  <c r="N71" i="31"/>
  <c r="K71" i="31"/>
  <c r="M71" i="31"/>
  <c r="S71" i="31"/>
  <c r="T71" i="31" s="1"/>
  <c r="N95" i="19"/>
  <c r="K95" i="19"/>
  <c r="E112" i="19"/>
  <c r="F112" i="19" s="1"/>
  <c r="S112" i="19" s="1"/>
  <c r="T112" i="19" s="1"/>
  <c r="V15" i="31"/>
  <c r="W15" i="31" s="1"/>
  <c r="N15" i="31"/>
  <c r="Y15" i="31"/>
  <c r="Z15" i="31" s="1"/>
  <c r="M15" i="31"/>
  <c r="L15" i="31"/>
  <c r="S15" i="31"/>
  <c r="T15" i="31" s="1"/>
  <c r="P15" i="31"/>
  <c r="Q15" i="31" s="1"/>
  <c r="K15" i="31"/>
  <c r="N97" i="28"/>
  <c r="V97" i="28"/>
  <c r="W97" i="28" s="1"/>
  <c r="K97" i="28"/>
  <c r="M97" i="28"/>
  <c r="S97" i="28"/>
  <c r="T97" i="28" s="1"/>
  <c r="P97" i="28"/>
  <c r="Q97" i="28" s="1"/>
  <c r="Y97" i="28"/>
  <c r="Z97" i="28" s="1"/>
  <c r="L97" i="28"/>
  <c r="Y97" i="31"/>
  <c r="Z97" i="31" s="1"/>
  <c r="Z115" i="31" s="1"/>
  <c r="Z116" i="31" s="1"/>
  <c r="M97" i="31"/>
  <c r="L97" i="31"/>
  <c r="V97" i="31"/>
  <c r="W97" i="31" s="1"/>
  <c r="K97" i="31"/>
  <c r="N97" i="31"/>
  <c r="P97" i="31"/>
  <c r="Q97" i="31" s="1"/>
  <c r="S97" i="31"/>
  <c r="T97" i="31" s="1"/>
  <c r="S10" i="31"/>
  <c r="T10" i="31" s="1"/>
  <c r="T26" i="31" s="1"/>
  <c r="T27" i="31" s="1"/>
  <c r="Y10" i="31"/>
  <c r="Z10" i="31" s="1"/>
  <c r="M10" i="31"/>
  <c r="L10" i="31"/>
  <c r="V10" i="31"/>
  <c r="W10" i="31" s="1"/>
  <c r="K10" i="31"/>
  <c r="P10" i="31"/>
  <c r="Q10" i="31" s="1"/>
  <c r="N10" i="31"/>
  <c r="W145" i="31"/>
  <c r="W146" i="31" s="1"/>
  <c r="N18" i="28"/>
  <c r="Y18" i="28"/>
  <c r="Z18" i="28" s="1"/>
  <c r="M18" i="28"/>
  <c r="V18" i="28"/>
  <c r="W18" i="28" s="1"/>
  <c r="P18" i="28"/>
  <c r="Q18" i="28" s="1"/>
  <c r="S18" i="28"/>
  <c r="T18" i="28" s="1"/>
  <c r="K18" i="28"/>
  <c r="L18" i="28"/>
  <c r="Y38" i="28"/>
  <c r="Z38" i="28" s="1"/>
  <c r="N38" i="28"/>
  <c r="L38" i="28"/>
  <c r="V38" i="28"/>
  <c r="W38" i="28" s="1"/>
  <c r="K38" i="28"/>
  <c r="P38" i="28"/>
  <c r="Q38" i="28" s="1"/>
  <c r="M38" i="28"/>
  <c r="S38" i="28"/>
  <c r="T38" i="28" s="1"/>
  <c r="P22" i="19"/>
  <c r="Q22" i="19" s="1"/>
  <c r="E130" i="19"/>
  <c r="F130" i="19" s="1"/>
  <c r="L130" i="19" s="1"/>
  <c r="Y109" i="19"/>
  <c r="Z109" i="19" s="1"/>
  <c r="E13" i="19"/>
  <c r="F13" i="19" s="1"/>
  <c r="N13" i="19" s="1"/>
  <c r="S136" i="19"/>
  <c r="T136" i="19" s="1"/>
  <c r="K22" i="19"/>
  <c r="E7" i="19"/>
  <c r="F7" i="19" s="1"/>
  <c r="N22" i="19"/>
  <c r="E94" i="19"/>
  <c r="F94" i="19" s="1"/>
  <c r="E10" i="19"/>
  <c r="F10" i="19" s="1"/>
  <c r="M43" i="19"/>
  <c r="S12" i="19"/>
  <c r="T12" i="19" s="1"/>
  <c r="E42" i="19"/>
  <c r="F42" i="19" s="1"/>
  <c r="M42" i="19" s="1"/>
  <c r="Y76" i="19"/>
  <c r="Z76" i="19" s="1"/>
  <c r="S102" i="19"/>
  <c r="T102" i="19" s="1"/>
  <c r="M72" i="19"/>
  <c r="S49" i="19"/>
  <c r="T49" i="19" s="1"/>
  <c r="V109" i="19"/>
  <c r="W109" i="19" s="1"/>
  <c r="N49" i="19"/>
  <c r="E21" i="22"/>
  <c r="F21" i="22" s="1"/>
  <c r="K21" i="22" s="1"/>
  <c r="E135" i="19"/>
  <c r="F135" i="19" s="1"/>
  <c r="K135" i="19" s="1"/>
  <c r="E75" i="19"/>
  <c r="F75" i="19" s="1"/>
  <c r="S75" i="19" s="1"/>
  <c r="T75" i="19" s="1"/>
  <c r="E35" i="19"/>
  <c r="F35" i="19" s="1"/>
  <c r="S35" i="19" s="1"/>
  <c r="T35" i="19" s="1"/>
  <c r="E20" i="19"/>
  <c r="F20" i="19" s="1"/>
  <c r="Y20" i="19" s="1"/>
  <c r="Z20" i="19" s="1"/>
  <c r="E39" i="19"/>
  <c r="F39" i="19" s="1"/>
  <c r="K39" i="19" s="1"/>
  <c r="E107" i="19"/>
  <c r="F107" i="19" s="1"/>
  <c r="P107" i="19" s="1"/>
  <c r="Q107" i="19" s="1"/>
  <c r="Y24" i="19"/>
  <c r="Z24" i="19" s="1"/>
  <c r="E141" i="19"/>
  <c r="F141" i="19" s="1"/>
  <c r="S141" i="19" s="1"/>
  <c r="T141" i="19" s="1"/>
  <c r="E128" i="19"/>
  <c r="F128" i="19" s="1"/>
  <c r="M128" i="19" s="1"/>
  <c r="Y122" i="19"/>
  <c r="Z122" i="19" s="1"/>
  <c r="K102" i="19"/>
  <c r="P102" i="19"/>
  <c r="Q102" i="19" s="1"/>
  <c r="M102" i="19"/>
  <c r="N102" i="19"/>
  <c r="V102" i="19"/>
  <c r="W102" i="19" s="1"/>
  <c r="Y102" i="19"/>
  <c r="Z102" i="19" s="1"/>
  <c r="E99" i="19"/>
  <c r="F99" i="19" s="1"/>
  <c r="Y99" i="19" s="1"/>
  <c r="Z99" i="19" s="1"/>
  <c r="L66" i="19"/>
  <c r="N76" i="19"/>
  <c r="K72" i="19"/>
  <c r="V76" i="19"/>
  <c r="W76" i="19" s="1"/>
  <c r="E70" i="19"/>
  <c r="F70" i="19" s="1"/>
  <c r="K70" i="19" s="1"/>
  <c r="Q4" i="15"/>
  <c r="R4" i="15" s="1"/>
  <c r="N72" i="19"/>
  <c r="P76" i="19"/>
  <c r="Q76" i="19" s="1"/>
  <c r="S76" i="19"/>
  <c r="T76" i="19" s="1"/>
  <c r="L72" i="19"/>
  <c r="L77" i="19"/>
  <c r="P72" i="19"/>
  <c r="Q72" i="19" s="1"/>
  <c r="V72" i="19"/>
  <c r="W72" i="19" s="1"/>
  <c r="M76" i="19"/>
  <c r="S72" i="19"/>
  <c r="T72" i="19" s="1"/>
  <c r="K76" i="19"/>
  <c r="K77" i="19"/>
  <c r="M77" i="19"/>
  <c r="P77" i="19"/>
  <c r="Q77" i="19" s="1"/>
  <c r="S77" i="19"/>
  <c r="T77" i="19" s="1"/>
  <c r="L80" i="19"/>
  <c r="V77" i="19"/>
  <c r="W77" i="19" s="1"/>
  <c r="Y77" i="19"/>
  <c r="Z77" i="19" s="1"/>
  <c r="K49" i="19"/>
  <c r="P49" i="19"/>
  <c r="Q49" i="19" s="1"/>
  <c r="E37" i="19"/>
  <c r="F37" i="19" s="1"/>
  <c r="L37" i="19" s="1"/>
  <c r="S22" i="19"/>
  <c r="T22" i="19" s="1"/>
  <c r="Y22" i="19"/>
  <c r="Z22" i="19" s="1"/>
  <c r="K12" i="19"/>
  <c r="E17" i="19"/>
  <c r="F17" i="19" s="1"/>
  <c r="M17" i="19" s="1"/>
  <c r="E138" i="19"/>
  <c r="F138" i="19" s="1"/>
  <c r="N138" i="19" s="1"/>
  <c r="V131" i="19"/>
  <c r="W131" i="19" s="1"/>
  <c r="S131" i="19"/>
  <c r="T131" i="19" s="1"/>
  <c r="L131" i="19"/>
  <c r="P131" i="19"/>
  <c r="Q131" i="19" s="1"/>
  <c r="M131" i="19"/>
  <c r="N131" i="19"/>
  <c r="K131" i="19"/>
  <c r="Y132" i="19"/>
  <c r="Z132" i="19" s="1"/>
  <c r="P105" i="19"/>
  <c r="Q105" i="19" s="1"/>
  <c r="E96" i="19"/>
  <c r="F96" i="19" s="1"/>
  <c r="S96" i="19" s="1"/>
  <c r="T96" i="19" s="1"/>
  <c r="E103" i="19"/>
  <c r="F103" i="19" s="1"/>
  <c r="M103" i="19" s="1"/>
  <c r="V105" i="19"/>
  <c r="W105" i="19" s="1"/>
  <c r="M105" i="19"/>
  <c r="S105" i="19"/>
  <c r="T105" i="19" s="1"/>
  <c r="L105" i="19"/>
  <c r="S106" i="19"/>
  <c r="T106" i="19" s="1"/>
  <c r="N105" i="19"/>
  <c r="K105" i="19"/>
  <c r="S80" i="19"/>
  <c r="T80" i="19" s="1"/>
  <c r="P80" i="19"/>
  <c r="Q80" i="19" s="1"/>
  <c r="Y80" i="19"/>
  <c r="Z80" i="19" s="1"/>
  <c r="V80" i="19"/>
  <c r="W80" i="19" s="1"/>
  <c r="V78" i="19"/>
  <c r="W78" i="19" s="1"/>
  <c r="Y78" i="19"/>
  <c r="Z78" i="19" s="1"/>
  <c r="K80" i="19"/>
  <c r="P78" i="19"/>
  <c r="Q78" i="19" s="1"/>
  <c r="M78" i="19"/>
  <c r="N78" i="19"/>
  <c r="Y82" i="19"/>
  <c r="Z82" i="19" s="1"/>
  <c r="L78" i="19"/>
  <c r="K78" i="19"/>
  <c r="E50" i="19"/>
  <c r="F50" i="19" s="1"/>
  <c r="K50" i="19" s="1"/>
  <c r="E40" i="19"/>
  <c r="F40" i="19" s="1"/>
  <c r="Y40" i="19" s="1"/>
  <c r="Z40" i="19" s="1"/>
  <c r="V49" i="19"/>
  <c r="W49" i="19" s="1"/>
  <c r="V51" i="19"/>
  <c r="W51" i="19" s="1"/>
  <c r="M49" i="19"/>
  <c r="L49" i="19"/>
  <c r="V47" i="19"/>
  <c r="W47" i="19" s="1"/>
  <c r="S47" i="19"/>
  <c r="T47" i="19" s="1"/>
  <c r="N47" i="19"/>
  <c r="S48" i="19"/>
  <c r="T48" i="19" s="1"/>
  <c r="V44" i="19"/>
  <c r="W44" i="19" s="1"/>
  <c r="S44" i="19"/>
  <c r="T44" i="19" s="1"/>
  <c r="L44" i="19"/>
  <c r="K44" i="19"/>
  <c r="P44" i="19"/>
  <c r="Q44" i="19" s="1"/>
  <c r="Y44" i="19"/>
  <c r="Z44" i="19" s="1"/>
  <c r="N44" i="19"/>
  <c r="M44" i="19"/>
  <c r="M48" i="19"/>
  <c r="M51" i="19"/>
  <c r="N48" i="19"/>
  <c r="Y47" i="19"/>
  <c r="Z47" i="19" s="1"/>
  <c r="V48" i="19"/>
  <c r="W48" i="19" s="1"/>
  <c r="P51" i="19"/>
  <c r="Q51" i="19" s="1"/>
  <c r="M47" i="19"/>
  <c r="K48" i="19"/>
  <c r="N51" i="19"/>
  <c r="P47" i="19"/>
  <c r="Q47" i="19" s="1"/>
  <c r="Y48" i="19"/>
  <c r="Z48" i="19" s="1"/>
  <c r="L47" i="19"/>
  <c r="K51" i="19"/>
  <c r="L48" i="19"/>
  <c r="S51" i="19"/>
  <c r="T51" i="19" s="1"/>
  <c r="E54" i="19"/>
  <c r="F54" i="19" s="1"/>
  <c r="Y54" i="19" s="1"/>
  <c r="Z54" i="19" s="1"/>
  <c r="E41" i="19"/>
  <c r="F41" i="19" s="1"/>
  <c r="P41" i="19" s="1"/>
  <c r="Q41" i="19" s="1"/>
  <c r="E71" i="19"/>
  <c r="F71" i="19" s="1"/>
  <c r="V71" i="19" s="1"/>
  <c r="W71" i="19" s="1"/>
  <c r="N133" i="19"/>
  <c r="M133" i="19"/>
  <c r="Y133" i="19"/>
  <c r="Z133" i="19" s="1"/>
  <c r="S133" i="19"/>
  <c r="T133" i="19" s="1"/>
  <c r="P133" i="19"/>
  <c r="Q133" i="19" s="1"/>
  <c r="V133" i="19"/>
  <c r="W133" i="19" s="1"/>
  <c r="L133" i="19"/>
  <c r="K133" i="19"/>
  <c r="L43" i="19"/>
  <c r="E127" i="19"/>
  <c r="F127" i="19" s="1"/>
  <c r="Y127" i="19" s="1"/>
  <c r="Z127" i="19" s="1"/>
  <c r="Y66" i="19"/>
  <c r="Z66" i="19" s="1"/>
  <c r="V43" i="19"/>
  <c r="W43" i="19" s="1"/>
  <c r="S66" i="19"/>
  <c r="T66" i="19" s="1"/>
  <c r="S43" i="19"/>
  <c r="T43" i="19" s="1"/>
  <c r="S5" i="22"/>
  <c r="T5" i="22" s="1"/>
  <c r="E67" i="19"/>
  <c r="F67" i="19" s="1"/>
  <c r="S67" i="19" s="1"/>
  <c r="T67" i="19" s="1"/>
  <c r="M66" i="19"/>
  <c r="N66" i="19"/>
  <c r="P66" i="19"/>
  <c r="Q66" i="19" s="1"/>
  <c r="V66" i="19"/>
  <c r="W66" i="19" s="1"/>
  <c r="Y43" i="19"/>
  <c r="Z43" i="19" s="1"/>
  <c r="E140" i="19"/>
  <c r="F140" i="19" s="1"/>
  <c r="P140" i="19" s="1"/>
  <c r="Q140" i="19" s="1"/>
  <c r="K43" i="19"/>
  <c r="P43" i="19"/>
  <c r="Q43" i="19" s="1"/>
  <c r="E65" i="19"/>
  <c r="F65" i="19" s="1"/>
  <c r="Y65" i="19" s="1"/>
  <c r="Z65" i="19" s="1"/>
  <c r="N125" i="19"/>
  <c r="E64" i="19"/>
  <c r="F64" i="19" s="1"/>
  <c r="S64" i="19" s="1"/>
  <c r="T64" i="19" s="1"/>
  <c r="N101" i="19"/>
  <c r="Y101" i="19"/>
  <c r="Z101" i="19" s="1"/>
  <c r="L101" i="19"/>
  <c r="V101" i="19"/>
  <c r="W101" i="19" s="1"/>
  <c r="P101" i="19"/>
  <c r="Q101" i="19" s="1"/>
  <c r="M101" i="19"/>
  <c r="S101" i="19"/>
  <c r="T101" i="19" s="1"/>
  <c r="K101" i="19"/>
  <c r="E130" i="22"/>
  <c r="F130" i="22" s="1"/>
  <c r="M130" i="22" s="1"/>
  <c r="E81" i="22"/>
  <c r="F81" i="22" s="1"/>
  <c r="P81" i="22" s="1"/>
  <c r="Q81" i="22" s="1"/>
  <c r="E100" i="19"/>
  <c r="F100" i="19" s="1"/>
  <c r="P100" i="19" s="1"/>
  <c r="Q100" i="19" s="1"/>
  <c r="E83" i="19"/>
  <c r="F83" i="19" s="1"/>
  <c r="Y83" i="19" s="1"/>
  <c r="Z83" i="19" s="1"/>
  <c r="E11" i="15"/>
  <c r="F11" i="15" s="1"/>
  <c r="E52" i="19"/>
  <c r="F52" i="19" s="1"/>
  <c r="V52" i="19" s="1"/>
  <c r="W52" i="19" s="1"/>
  <c r="E38" i="19"/>
  <c r="F38" i="19" s="1"/>
  <c r="V38" i="19" s="1"/>
  <c r="W38" i="19" s="1"/>
  <c r="E98" i="19"/>
  <c r="F98" i="19" s="1"/>
  <c r="V98" i="19" s="1"/>
  <c r="W98" i="19" s="1"/>
  <c r="Q5" i="15"/>
  <c r="R5" i="15" s="1"/>
  <c r="M73" i="19"/>
  <c r="V73" i="19"/>
  <c r="W73" i="19" s="1"/>
  <c r="K73" i="19"/>
  <c r="L73" i="19"/>
  <c r="P73" i="19"/>
  <c r="Q73" i="19" s="1"/>
  <c r="S73" i="19"/>
  <c r="T73" i="19" s="1"/>
  <c r="Y73" i="19"/>
  <c r="Z73" i="19" s="1"/>
  <c r="N73" i="19"/>
  <c r="E128" i="22"/>
  <c r="F128" i="22" s="1"/>
  <c r="L128" i="22" s="1"/>
  <c r="E137" i="19"/>
  <c r="F137" i="19" s="1"/>
  <c r="V137" i="19" s="1"/>
  <c r="W137" i="19" s="1"/>
  <c r="V129" i="19"/>
  <c r="W129" i="19" s="1"/>
  <c r="L125" i="19"/>
  <c r="V136" i="19"/>
  <c r="W136" i="19" s="1"/>
  <c r="Y136" i="19"/>
  <c r="Z136" i="19" s="1"/>
  <c r="E46" i="19"/>
  <c r="F46" i="19" s="1"/>
  <c r="S46" i="19" s="1"/>
  <c r="T46" i="19" s="1"/>
  <c r="Y125" i="19"/>
  <c r="Z125" i="19" s="1"/>
  <c r="L129" i="19"/>
  <c r="K136" i="19"/>
  <c r="K110" i="19"/>
  <c r="S129" i="19"/>
  <c r="T129" i="19" s="1"/>
  <c r="P125" i="19"/>
  <c r="Q125" i="19" s="1"/>
  <c r="N136" i="19"/>
  <c r="V125" i="19"/>
  <c r="W125" i="19" s="1"/>
  <c r="M129" i="19"/>
  <c r="M136" i="19"/>
  <c r="S125" i="19"/>
  <c r="T125" i="19" s="1"/>
  <c r="N129" i="19"/>
  <c r="L136" i="19"/>
  <c r="L110" i="19"/>
  <c r="K125" i="19"/>
  <c r="Y129" i="19"/>
  <c r="Z129" i="19" s="1"/>
  <c r="E69" i="19"/>
  <c r="F69" i="19" s="1"/>
  <c r="L69" i="19" s="1"/>
  <c r="K6" i="15"/>
  <c r="L6" i="15" s="1"/>
  <c r="E18" i="19"/>
  <c r="F18" i="19" s="1"/>
  <c r="M18" i="19" s="1"/>
  <c r="E114" i="22"/>
  <c r="F114" i="22" s="1"/>
  <c r="S114" i="22" s="1"/>
  <c r="T114" i="22" s="1"/>
  <c r="E43" i="22"/>
  <c r="F43" i="22" s="1"/>
  <c r="L43" i="22" s="1"/>
  <c r="E97" i="19"/>
  <c r="F97" i="19" s="1"/>
  <c r="P97" i="19" s="1"/>
  <c r="Q97" i="19" s="1"/>
  <c r="E19" i="19"/>
  <c r="F19" i="19" s="1"/>
  <c r="L19" i="19" s="1"/>
  <c r="E123" i="19"/>
  <c r="F123" i="19" s="1"/>
  <c r="Y123" i="19" s="1"/>
  <c r="Z123" i="19" s="1"/>
  <c r="E68" i="19"/>
  <c r="F68" i="19" s="1"/>
  <c r="L68" i="19" s="1"/>
  <c r="P74" i="19"/>
  <c r="Q74" i="19" s="1"/>
  <c r="Y5" i="19"/>
  <c r="Z5" i="19" s="1"/>
  <c r="K11" i="15"/>
  <c r="L11" i="15" s="1"/>
  <c r="E79" i="19"/>
  <c r="F79" i="19" s="1"/>
  <c r="P79" i="19" s="1"/>
  <c r="Q79" i="19" s="1"/>
  <c r="D124" i="19"/>
  <c r="E124" i="19" s="1"/>
  <c r="F124" i="19" s="1"/>
  <c r="Y124" i="19" s="1"/>
  <c r="Z124" i="19" s="1"/>
  <c r="C6" i="19"/>
  <c r="E6" i="19" s="1"/>
  <c r="F6" i="19" s="1"/>
  <c r="Y6" i="19" s="1"/>
  <c r="Z6" i="19" s="1"/>
  <c r="E12" i="24"/>
  <c r="F12" i="24" s="1"/>
  <c r="K5" i="24"/>
  <c r="L5" i="24" s="1"/>
  <c r="E25" i="22"/>
  <c r="F25" i="22" s="1"/>
  <c r="S25" i="22" s="1"/>
  <c r="T25" i="22" s="1"/>
  <c r="E41" i="22"/>
  <c r="F41" i="22" s="1"/>
  <c r="E71" i="22"/>
  <c r="F71" i="22" s="1"/>
  <c r="P71" i="22" s="1"/>
  <c r="Q71" i="22" s="1"/>
  <c r="E16" i="22"/>
  <c r="F16" i="22" s="1"/>
  <c r="M16" i="22" s="1"/>
  <c r="E11" i="19"/>
  <c r="F11" i="19" s="1"/>
  <c r="K11" i="19" s="1"/>
  <c r="K23" i="19"/>
  <c r="K12" i="15"/>
  <c r="L12" i="15" s="1"/>
  <c r="E104" i="19"/>
  <c r="F104" i="19" s="1"/>
  <c r="V104" i="19" s="1"/>
  <c r="W104" i="19" s="1"/>
  <c r="V81" i="19"/>
  <c r="W81" i="19" s="1"/>
  <c r="E36" i="22"/>
  <c r="F36" i="22" s="1"/>
  <c r="Y36" i="22" s="1"/>
  <c r="Z36" i="22" s="1"/>
  <c r="E102" i="22"/>
  <c r="F102" i="22" s="1"/>
  <c r="L102" i="22" s="1"/>
  <c r="P9" i="19"/>
  <c r="Q9" i="19" s="1"/>
  <c r="V9" i="19"/>
  <c r="W9" i="19" s="1"/>
  <c r="V12" i="19"/>
  <c r="W12" i="19" s="1"/>
  <c r="V74" i="19"/>
  <c r="W74" i="19" s="1"/>
  <c r="S110" i="19"/>
  <c r="T110" i="19" s="1"/>
  <c r="E12" i="15"/>
  <c r="F12" i="15" s="1"/>
  <c r="E125" i="22"/>
  <c r="F125" i="22" s="1"/>
  <c r="Y125" i="22" s="1"/>
  <c r="Z125" i="22" s="1"/>
  <c r="E98" i="22"/>
  <c r="F98" i="22" s="1"/>
  <c r="P98" i="22" s="1"/>
  <c r="Q98" i="22" s="1"/>
  <c r="Y34" i="19"/>
  <c r="Z34" i="19" s="1"/>
  <c r="M109" i="19"/>
  <c r="E15" i="19"/>
  <c r="F15" i="19" s="1"/>
  <c r="L15" i="19" s="1"/>
  <c r="L109" i="19"/>
  <c r="P12" i="19"/>
  <c r="Q12" i="19" s="1"/>
  <c r="Y74" i="19"/>
  <c r="Z74" i="19" s="1"/>
  <c r="L12" i="19"/>
  <c r="E10" i="22"/>
  <c r="F10" i="22" s="1"/>
  <c r="L10" i="22" s="1"/>
  <c r="P23" i="19"/>
  <c r="Q23" i="19" s="1"/>
  <c r="K109" i="19"/>
  <c r="K74" i="19"/>
  <c r="L74" i="19"/>
  <c r="K81" i="19"/>
  <c r="S109" i="19"/>
  <c r="T109" i="19" s="1"/>
  <c r="N81" i="19"/>
  <c r="E46" i="22"/>
  <c r="F46" i="22" s="1"/>
  <c r="L46" i="22" s="1"/>
  <c r="S74" i="19"/>
  <c r="T74" i="19" s="1"/>
  <c r="M108" i="19"/>
  <c r="Y12" i="19"/>
  <c r="Z12" i="19" s="1"/>
  <c r="N109" i="19"/>
  <c r="D93" i="19"/>
  <c r="E93" i="19" s="1"/>
  <c r="F93" i="19" s="1"/>
  <c r="Y93" i="19" s="1"/>
  <c r="Z93" i="19" s="1"/>
  <c r="M12" i="19"/>
  <c r="M74" i="19"/>
  <c r="Y92" i="19"/>
  <c r="Z92" i="19" s="1"/>
  <c r="M80" i="19"/>
  <c r="S81" i="19"/>
  <c r="T81" i="19" s="1"/>
  <c r="M110" i="19"/>
  <c r="E36" i="19"/>
  <c r="F36" i="19" s="1"/>
  <c r="S36" i="19" s="1"/>
  <c r="T36" i="19" s="1"/>
  <c r="E139" i="19"/>
  <c r="F139" i="19" s="1"/>
  <c r="Y139" i="19" s="1"/>
  <c r="Z139" i="19" s="1"/>
  <c r="E136" i="22"/>
  <c r="F136" i="22" s="1"/>
  <c r="Y136" i="22" s="1"/>
  <c r="Z136" i="22" s="1"/>
  <c r="N108" i="19"/>
  <c r="V106" i="19"/>
  <c r="W106" i="19" s="1"/>
  <c r="E25" i="19"/>
  <c r="F25" i="19" s="1"/>
  <c r="S25" i="19" s="1"/>
  <c r="T25" i="19" s="1"/>
  <c r="S103" i="22"/>
  <c r="T103" i="22" s="1"/>
  <c r="L103" i="22"/>
  <c r="P103" i="22"/>
  <c r="Q103" i="22" s="1"/>
  <c r="N103" i="22"/>
  <c r="Y103" i="22"/>
  <c r="Z103" i="22" s="1"/>
  <c r="M103" i="22"/>
  <c r="V103" i="22"/>
  <c r="W103" i="22" s="1"/>
  <c r="K103" i="22"/>
  <c r="K131" i="22"/>
  <c r="S131" i="22"/>
  <c r="T131" i="22" s="1"/>
  <c r="P131" i="22"/>
  <c r="Q131" i="22" s="1"/>
  <c r="N131" i="22"/>
  <c r="M131" i="22"/>
  <c r="Y131" i="22"/>
  <c r="Z131" i="22" s="1"/>
  <c r="L131" i="22"/>
  <c r="V131" i="22"/>
  <c r="W131" i="22" s="1"/>
  <c r="E50" i="22"/>
  <c r="F50" i="22" s="1"/>
  <c r="L50" i="22" s="1"/>
  <c r="L133" i="22"/>
  <c r="V133" i="22"/>
  <c r="W133" i="22" s="1"/>
  <c r="K133" i="22"/>
  <c r="S133" i="22"/>
  <c r="T133" i="22" s="1"/>
  <c r="P133" i="22"/>
  <c r="Q133" i="22" s="1"/>
  <c r="N133" i="22"/>
  <c r="Y133" i="22"/>
  <c r="Z133" i="22" s="1"/>
  <c r="M133" i="22"/>
  <c r="E40" i="22"/>
  <c r="F40" i="22" s="1"/>
  <c r="L40" i="22" s="1"/>
  <c r="E9" i="22"/>
  <c r="F9" i="22" s="1"/>
  <c r="Y127" i="22"/>
  <c r="Z127" i="22" s="1"/>
  <c r="M127" i="22"/>
  <c r="L127" i="22"/>
  <c r="V127" i="22"/>
  <c r="W127" i="22" s="1"/>
  <c r="K127" i="22"/>
  <c r="S127" i="22"/>
  <c r="T127" i="22" s="1"/>
  <c r="P127" i="22"/>
  <c r="Q127" i="22" s="1"/>
  <c r="N127" i="22"/>
  <c r="E17" i="22"/>
  <c r="F17" i="22" s="1"/>
  <c r="P48" i="22"/>
  <c r="Q48" i="22" s="1"/>
  <c r="N48" i="22"/>
  <c r="M48" i="22"/>
  <c r="K48" i="22"/>
  <c r="Y48" i="22"/>
  <c r="Z48" i="22" s="1"/>
  <c r="V48" i="22"/>
  <c r="W48" i="22" s="1"/>
  <c r="S48" i="22"/>
  <c r="T48" i="22" s="1"/>
  <c r="E101" i="22"/>
  <c r="F101" i="22" s="1"/>
  <c r="E13" i="22"/>
  <c r="F13" i="22" s="1"/>
  <c r="E38" i="22"/>
  <c r="F38" i="22" s="1"/>
  <c r="N49" i="22"/>
  <c r="M49" i="22"/>
  <c r="K49" i="22"/>
  <c r="Y49" i="22"/>
  <c r="Z49" i="22" s="1"/>
  <c r="V49" i="22"/>
  <c r="W49" i="22" s="1"/>
  <c r="P49" i="22"/>
  <c r="Q49" i="22" s="1"/>
  <c r="S49" i="22"/>
  <c r="T49" i="22" s="1"/>
  <c r="E73" i="22"/>
  <c r="F73" i="22" s="1"/>
  <c r="S134" i="22"/>
  <c r="T134" i="22" s="1"/>
  <c r="P134" i="22"/>
  <c r="Q134" i="22" s="1"/>
  <c r="N134" i="22"/>
  <c r="L134" i="22"/>
  <c r="M134" i="22"/>
  <c r="V134" i="22"/>
  <c r="W134" i="22" s="1"/>
  <c r="K134" i="22"/>
  <c r="Y134" i="22"/>
  <c r="Z134" i="22" s="1"/>
  <c r="N106" i="19"/>
  <c r="K108" i="22"/>
  <c r="L108" i="22"/>
  <c r="V108" i="22"/>
  <c r="W108" i="22" s="1"/>
  <c r="S108" i="22"/>
  <c r="T108" i="22" s="1"/>
  <c r="P108" i="22"/>
  <c r="Q108" i="22" s="1"/>
  <c r="Y108" i="22"/>
  <c r="Z108" i="22" s="1"/>
  <c r="M108" i="22"/>
  <c r="N108" i="22"/>
  <c r="E42" i="22"/>
  <c r="F42" i="22" s="1"/>
  <c r="L42" i="22" s="1"/>
  <c r="E15" i="22"/>
  <c r="F15" i="22" s="1"/>
  <c r="E129" i="22"/>
  <c r="F129" i="22" s="1"/>
  <c r="P74" i="22"/>
  <c r="Q74" i="22" s="1"/>
  <c r="N74" i="22"/>
  <c r="K74" i="22"/>
  <c r="Y74" i="22"/>
  <c r="Z74" i="22" s="1"/>
  <c r="M74" i="22"/>
  <c r="L74" i="22"/>
  <c r="V74" i="22"/>
  <c r="W74" i="22" s="1"/>
  <c r="S74" i="22"/>
  <c r="T74" i="22" s="1"/>
  <c r="Y12" i="22"/>
  <c r="Z12" i="22" s="1"/>
  <c r="M12" i="22"/>
  <c r="L12" i="22"/>
  <c r="V12" i="22"/>
  <c r="W12" i="22" s="1"/>
  <c r="S12" i="22"/>
  <c r="T12" i="22" s="1"/>
  <c r="K12" i="22"/>
  <c r="P12" i="22"/>
  <c r="Q12" i="22" s="1"/>
  <c r="N12" i="22"/>
  <c r="Y104" i="22"/>
  <c r="Z104" i="22" s="1"/>
  <c r="M104" i="22"/>
  <c r="L104" i="22"/>
  <c r="V104" i="22"/>
  <c r="W104" i="22" s="1"/>
  <c r="K104" i="22"/>
  <c r="S104" i="22"/>
  <c r="T104" i="22" s="1"/>
  <c r="P104" i="22"/>
  <c r="Q104" i="22" s="1"/>
  <c r="N104" i="22"/>
  <c r="E44" i="22"/>
  <c r="F44" i="22" s="1"/>
  <c r="L44" i="22" s="1"/>
  <c r="E105" i="22"/>
  <c r="F105" i="22" s="1"/>
  <c r="E99" i="22"/>
  <c r="F99" i="22" s="1"/>
  <c r="E39" i="22"/>
  <c r="F39" i="22" s="1"/>
  <c r="L39" i="22" s="1"/>
  <c r="E132" i="22"/>
  <c r="F132" i="22" s="1"/>
  <c r="M132" i="19"/>
  <c r="L132" i="19"/>
  <c r="M106" i="19"/>
  <c r="Y138" i="22"/>
  <c r="Z138" i="22" s="1"/>
  <c r="M138" i="22"/>
  <c r="L138" i="22"/>
  <c r="S138" i="22"/>
  <c r="T138" i="22" s="1"/>
  <c r="V138" i="22"/>
  <c r="W138" i="22" s="1"/>
  <c r="K138" i="22"/>
  <c r="N138" i="22"/>
  <c r="P138" i="22"/>
  <c r="Q138" i="22" s="1"/>
  <c r="E20" i="22"/>
  <c r="F20" i="22" s="1"/>
  <c r="E69" i="22"/>
  <c r="F69" i="22" s="1"/>
  <c r="E77" i="22"/>
  <c r="F77" i="22" s="1"/>
  <c r="K132" i="19"/>
  <c r="Y106" i="19"/>
  <c r="Z106" i="19" s="1"/>
  <c r="N132" i="19"/>
  <c r="P132" i="19"/>
  <c r="Q132" i="19" s="1"/>
  <c r="L106" i="19"/>
  <c r="L81" i="19"/>
  <c r="N110" i="19"/>
  <c r="E70" i="22"/>
  <c r="F70" i="22" s="1"/>
  <c r="E106" i="22"/>
  <c r="F106" i="22" s="1"/>
  <c r="E47" i="22"/>
  <c r="F47" i="22" s="1"/>
  <c r="L47" i="22" s="1"/>
  <c r="K78" i="22"/>
  <c r="Y78" i="22"/>
  <c r="Z78" i="22" s="1"/>
  <c r="S78" i="22"/>
  <c r="T78" i="22" s="1"/>
  <c r="M78" i="22"/>
  <c r="P78" i="22"/>
  <c r="Q78" i="22" s="1"/>
  <c r="L78" i="22"/>
  <c r="V78" i="22"/>
  <c r="W78" i="22" s="1"/>
  <c r="N78" i="22"/>
  <c r="S76" i="22"/>
  <c r="T76" i="22" s="1"/>
  <c r="N76" i="22"/>
  <c r="M76" i="22"/>
  <c r="P76" i="22"/>
  <c r="Q76" i="22" s="1"/>
  <c r="L76" i="22"/>
  <c r="V76" i="22"/>
  <c r="W76" i="22" s="1"/>
  <c r="Y76" i="22"/>
  <c r="Z76" i="22" s="1"/>
  <c r="K76" i="22"/>
  <c r="E109" i="22"/>
  <c r="F109" i="22" s="1"/>
  <c r="E8" i="22"/>
  <c r="F8" i="22" s="1"/>
  <c r="E19" i="22"/>
  <c r="F19" i="22" s="1"/>
  <c r="P68" i="22"/>
  <c r="Q68" i="22" s="1"/>
  <c r="N68" i="22"/>
  <c r="M68" i="22"/>
  <c r="L68" i="22"/>
  <c r="Y68" i="22"/>
  <c r="Z68" i="22" s="1"/>
  <c r="S68" i="22"/>
  <c r="T68" i="22" s="1"/>
  <c r="V68" i="22"/>
  <c r="W68" i="22" s="1"/>
  <c r="K68" i="22"/>
  <c r="E137" i="22"/>
  <c r="F137" i="22" s="1"/>
  <c r="E100" i="22"/>
  <c r="F100" i="22" s="1"/>
  <c r="K106" i="19"/>
  <c r="E51" i="22"/>
  <c r="F51" i="22" s="1"/>
  <c r="S51" i="22" s="1"/>
  <c r="T51" i="22" s="1"/>
  <c r="E139" i="22"/>
  <c r="F139" i="22" s="1"/>
  <c r="N80" i="22"/>
  <c r="P80" i="22"/>
  <c r="Q80" i="22" s="1"/>
  <c r="K80" i="22"/>
  <c r="Y80" i="22"/>
  <c r="Z80" i="22" s="1"/>
  <c r="M80" i="22"/>
  <c r="L80" i="22"/>
  <c r="V80" i="22"/>
  <c r="W80" i="22" s="1"/>
  <c r="S80" i="22"/>
  <c r="T80" i="22" s="1"/>
  <c r="E18" i="22"/>
  <c r="F18" i="22" s="1"/>
  <c r="M75" i="22"/>
  <c r="K75" i="22"/>
  <c r="S75" i="22"/>
  <c r="T75" i="22" s="1"/>
  <c r="N75" i="22"/>
  <c r="Y75" i="22"/>
  <c r="Z75" i="22" s="1"/>
  <c r="P75" i="22"/>
  <c r="Q75" i="22" s="1"/>
  <c r="L75" i="22"/>
  <c r="V75" i="22"/>
  <c r="W75" i="22" s="1"/>
  <c r="Y135" i="22"/>
  <c r="Z135" i="22" s="1"/>
  <c r="M135" i="22"/>
  <c r="L135" i="22"/>
  <c r="V135" i="22"/>
  <c r="W135" i="22" s="1"/>
  <c r="K135" i="22"/>
  <c r="S135" i="22"/>
  <c r="T135" i="22" s="1"/>
  <c r="P135" i="22"/>
  <c r="Q135" i="22" s="1"/>
  <c r="N135" i="22"/>
  <c r="E107" i="22"/>
  <c r="F107" i="22" s="1"/>
  <c r="S132" i="19"/>
  <c r="T132" i="19" s="1"/>
  <c r="V138" i="19"/>
  <c r="W138" i="19" s="1"/>
  <c r="K5" i="15"/>
  <c r="L5" i="15" s="1"/>
  <c r="E67" i="22"/>
  <c r="F67" i="22" s="1"/>
  <c r="Y67" i="22" s="1"/>
  <c r="Z67" i="22" s="1"/>
  <c r="E72" i="22"/>
  <c r="F72" i="22" s="1"/>
  <c r="E79" i="22"/>
  <c r="F79" i="22" s="1"/>
  <c r="N14" i="22"/>
  <c r="V14" i="22"/>
  <c r="W14" i="22" s="1"/>
  <c r="M14" i="22"/>
  <c r="Y14" i="22"/>
  <c r="Z14" i="22" s="1"/>
  <c r="S14" i="22"/>
  <c r="T14" i="22" s="1"/>
  <c r="K14" i="22"/>
  <c r="P14" i="22"/>
  <c r="Q14" i="22" s="1"/>
  <c r="L14" i="22"/>
  <c r="E11" i="22"/>
  <c r="F11" i="22" s="1"/>
  <c r="N97" i="22"/>
  <c r="K97" i="22"/>
  <c r="S97" i="22"/>
  <c r="T97" i="22" s="1"/>
  <c r="P97" i="22"/>
  <c r="Q97" i="22" s="1"/>
  <c r="Y97" i="22"/>
  <c r="Z97" i="22" s="1"/>
  <c r="M97" i="22"/>
  <c r="V97" i="22"/>
  <c r="W97" i="22" s="1"/>
  <c r="L97" i="22"/>
  <c r="P45" i="22"/>
  <c r="Q45" i="22" s="1"/>
  <c r="N45" i="22"/>
  <c r="M45" i="22"/>
  <c r="Y45" i="22"/>
  <c r="Z45" i="22" s="1"/>
  <c r="V45" i="22"/>
  <c r="W45" i="22" s="1"/>
  <c r="K45" i="22"/>
  <c r="S45" i="22"/>
  <c r="T45" i="22" s="1"/>
  <c r="E55" i="22"/>
  <c r="F55" i="22" s="1"/>
  <c r="E142" i="19"/>
  <c r="F142" i="19" s="1"/>
  <c r="Y142" i="19" s="1"/>
  <c r="Z142" i="19" s="1"/>
  <c r="E85" i="22"/>
  <c r="F85" i="22" s="1"/>
  <c r="E144" i="22"/>
  <c r="F144" i="22" s="1"/>
  <c r="S144" i="22" s="1"/>
  <c r="T144" i="22" s="1"/>
  <c r="S23" i="19"/>
  <c r="T23" i="19" s="1"/>
  <c r="Y53" i="19"/>
  <c r="Z53" i="19" s="1"/>
  <c r="S24" i="22"/>
  <c r="T24" i="22" s="1"/>
  <c r="Y24" i="22"/>
  <c r="Z24" i="22" s="1"/>
  <c r="S111" i="19"/>
  <c r="T111" i="19" s="1"/>
  <c r="M23" i="19"/>
  <c r="P81" i="19"/>
  <c r="Q81" i="19" s="1"/>
  <c r="Y110" i="19"/>
  <c r="Z110" i="19" s="1"/>
  <c r="Y54" i="22"/>
  <c r="Z54" i="22" s="1"/>
  <c r="S54" i="22"/>
  <c r="T54" i="22" s="1"/>
  <c r="Y84" i="22"/>
  <c r="Z84" i="22" s="1"/>
  <c r="S84" i="22"/>
  <c r="T84" i="22" s="1"/>
  <c r="L23" i="19"/>
  <c r="N23" i="19"/>
  <c r="Y81" i="19"/>
  <c r="Z81" i="19" s="1"/>
  <c r="V110" i="19"/>
  <c r="W110" i="19" s="1"/>
  <c r="Y23" i="19"/>
  <c r="Z23" i="19" s="1"/>
  <c r="Y113" i="22"/>
  <c r="Z113" i="22" s="1"/>
  <c r="S113" i="22"/>
  <c r="T113" i="22" s="1"/>
  <c r="S108" i="19"/>
  <c r="T108" i="19" s="1"/>
  <c r="V108" i="19"/>
  <c r="W108" i="19" s="1"/>
  <c r="K21" i="19"/>
  <c r="E140" i="22"/>
  <c r="F140" i="22" s="1"/>
  <c r="L140" i="22" s="1"/>
  <c r="P108" i="19"/>
  <c r="Q108" i="19" s="1"/>
  <c r="Y108" i="19"/>
  <c r="Z108" i="19" s="1"/>
  <c r="Y51" i="19"/>
  <c r="Z51" i="19" s="1"/>
  <c r="K108" i="19"/>
  <c r="N21" i="19"/>
  <c r="K138" i="19"/>
  <c r="E141" i="22"/>
  <c r="F141" i="22" s="1"/>
  <c r="M141" i="22" s="1"/>
  <c r="E143" i="22"/>
  <c r="F143" i="22" s="1"/>
  <c r="P110" i="22"/>
  <c r="Q110" i="22" s="1"/>
  <c r="K110" i="22"/>
  <c r="S110" i="22"/>
  <c r="T110" i="22" s="1"/>
  <c r="N110" i="22"/>
  <c r="L110" i="22"/>
  <c r="V110" i="22"/>
  <c r="W110" i="22" s="1"/>
  <c r="M110" i="22"/>
  <c r="Y110" i="22"/>
  <c r="Z110" i="22" s="1"/>
  <c r="L23" i="22"/>
  <c r="Y23" i="22"/>
  <c r="Z23" i="22" s="1"/>
  <c r="M23" i="22"/>
  <c r="V23" i="22"/>
  <c r="W23" i="22" s="1"/>
  <c r="S23" i="22"/>
  <c r="T23" i="22" s="1"/>
  <c r="K23" i="22"/>
  <c r="P23" i="22"/>
  <c r="Q23" i="22" s="1"/>
  <c r="N23" i="22"/>
  <c r="Y82" i="22"/>
  <c r="Z82" i="22" s="1"/>
  <c r="K82" i="22"/>
  <c r="P82" i="22"/>
  <c r="Q82" i="22" s="1"/>
  <c r="N82" i="22"/>
  <c r="V82" i="22"/>
  <c r="W82" i="22" s="1"/>
  <c r="L82" i="22"/>
  <c r="S82" i="22"/>
  <c r="T82" i="22" s="1"/>
  <c r="M82" i="22"/>
  <c r="L111" i="22"/>
  <c r="V111" i="22"/>
  <c r="W111" i="22" s="1"/>
  <c r="Y111" i="22"/>
  <c r="Z111" i="22" s="1"/>
  <c r="M111" i="22"/>
  <c r="K111" i="22"/>
  <c r="S111" i="22"/>
  <c r="T111" i="22" s="1"/>
  <c r="P111" i="22"/>
  <c r="Q111" i="22" s="1"/>
  <c r="N111" i="22"/>
  <c r="E53" i="22"/>
  <c r="F53" i="22" s="1"/>
  <c r="L53" i="22" s="1"/>
  <c r="Y22" i="22"/>
  <c r="Z22" i="22" s="1"/>
  <c r="M22" i="22"/>
  <c r="V22" i="22"/>
  <c r="W22" i="22" s="1"/>
  <c r="K22" i="22"/>
  <c r="S22" i="22"/>
  <c r="T22" i="22" s="1"/>
  <c r="P22" i="22"/>
  <c r="Q22" i="22" s="1"/>
  <c r="N22" i="22"/>
  <c r="L22" i="22"/>
  <c r="P83" i="22"/>
  <c r="Q83" i="22" s="1"/>
  <c r="N83" i="22"/>
  <c r="Y83" i="22"/>
  <c r="Z83" i="22" s="1"/>
  <c r="M83" i="22"/>
  <c r="S83" i="22"/>
  <c r="T83" i="22" s="1"/>
  <c r="K83" i="22"/>
  <c r="L83" i="22"/>
  <c r="V83" i="22"/>
  <c r="W83" i="22" s="1"/>
  <c r="M50" i="19"/>
  <c r="K52" i="22"/>
  <c r="V52" i="22"/>
  <c r="W52" i="22" s="1"/>
  <c r="S52" i="22"/>
  <c r="T52" i="22" s="1"/>
  <c r="Y52" i="22"/>
  <c r="Z52" i="22" s="1"/>
  <c r="P52" i="22"/>
  <c r="Q52" i="22" s="1"/>
  <c r="N52" i="22"/>
  <c r="M52" i="22"/>
  <c r="E112" i="22"/>
  <c r="F112" i="22" s="1"/>
  <c r="E142" i="22"/>
  <c r="F142" i="22" s="1"/>
  <c r="Y7" i="19"/>
  <c r="Z7" i="19" s="1"/>
  <c r="S7" i="19"/>
  <c r="T7" i="19" s="1"/>
  <c r="Y94" i="19"/>
  <c r="Z94" i="19" s="1"/>
  <c r="S94" i="19"/>
  <c r="T94" i="19" s="1"/>
  <c r="E7" i="22"/>
  <c r="F7" i="22" s="1"/>
  <c r="E4" i="15"/>
  <c r="F4" i="15" s="1"/>
  <c r="C4" i="24"/>
  <c r="E4" i="24" s="1"/>
  <c r="F4" i="24" s="1"/>
  <c r="E35" i="22"/>
  <c r="F35" i="22" s="1"/>
  <c r="D65" i="22"/>
  <c r="E65" i="22" s="1"/>
  <c r="F65" i="22" s="1"/>
  <c r="E124" i="22"/>
  <c r="F124" i="22" s="1"/>
  <c r="E66" i="22"/>
  <c r="F66" i="22" s="1"/>
  <c r="K11" i="24"/>
  <c r="L11" i="24" s="1"/>
  <c r="E96" i="22"/>
  <c r="F96" i="22" s="1"/>
  <c r="D63" i="19"/>
  <c r="E63" i="19" s="1"/>
  <c r="F63" i="19" s="1"/>
  <c r="Y63" i="19" s="1"/>
  <c r="Z63" i="19" s="1"/>
  <c r="Q6" i="15"/>
  <c r="R6" i="15" s="1"/>
  <c r="P6" i="24"/>
  <c r="E11" i="24"/>
  <c r="F11" i="24" s="1"/>
  <c r="K12" i="24"/>
  <c r="L12" i="24" s="1"/>
  <c r="Q5" i="24"/>
  <c r="R5" i="24" s="1"/>
  <c r="Y94" i="22"/>
  <c r="Z94" i="22" s="1"/>
  <c r="S94" i="22"/>
  <c r="T94" i="22" s="1"/>
  <c r="E37" i="22"/>
  <c r="F37" i="22" s="1"/>
  <c r="E5" i="15"/>
  <c r="F5" i="15" s="1"/>
  <c r="C5" i="24"/>
  <c r="E5" i="24" s="1"/>
  <c r="F5" i="24" s="1"/>
  <c r="D95" i="22"/>
  <c r="E95" i="22" s="1"/>
  <c r="F95" i="22" s="1"/>
  <c r="D126" i="22"/>
  <c r="E126" i="22" s="1"/>
  <c r="F126" i="22" s="1"/>
  <c r="K10" i="15"/>
  <c r="L10" i="15" s="1"/>
  <c r="I10" i="24"/>
  <c r="K10" i="24" s="1"/>
  <c r="L10" i="24" s="1"/>
  <c r="K6" i="24"/>
  <c r="L6" i="24" s="1"/>
  <c r="C6" i="22"/>
  <c r="E6" i="22" s="1"/>
  <c r="F6" i="22" s="1"/>
  <c r="Q4" i="24"/>
  <c r="R4" i="24" s="1"/>
  <c r="H12" i="16"/>
  <c r="I4" i="24" s="1"/>
  <c r="J12" i="16"/>
  <c r="I4" i="15" s="1"/>
  <c r="K4" i="15" s="1"/>
  <c r="L4" i="15" s="1"/>
  <c r="S9" i="19"/>
  <c r="T9" i="19" s="1"/>
  <c r="N9" i="19"/>
  <c r="K9" i="19"/>
  <c r="L9" i="19"/>
  <c r="Y9" i="19"/>
  <c r="Z9" i="19" s="1"/>
  <c r="M9" i="19"/>
  <c r="K130" i="19"/>
  <c r="S130" i="19"/>
  <c r="T130" i="19" s="1"/>
  <c r="Y130" i="19"/>
  <c r="Z130" i="19" s="1"/>
  <c r="P130" i="19"/>
  <c r="Q130" i="19" s="1"/>
  <c r="N130" i="19"/>
  <c r="V130" i="19"/>
  <c r="W130" i="19" s="1"/>
  <c r="M130" i="19"/>
  <c r="Y35" i="19"/>
  <c r="Z35" i="19" s="1"/>
  <c r="N45" i="19"/>
  <c r="S45" i="19"/>
  <c r="T45" i="19" s="1"/>
  <c r="V45" i="19"/>
  <c r="W45" i="19" s="1"/>
  <c r="M45" i="19"/>
  <c r="P45" i="19"/>
  <c r="Q45" i="19" s="1"/>
  <c r="L45" i="19"/>
  <c r="Y45" i="19"/>
  <c r="Z45" i="19" s="1"/>
  <c r="K45" i="19"/>
  <c r="V8" i="19"/>
  <c r="W8" i="19" s="1"/>
  <c r="S8" i="19"/>
  <c r="T8" i="19" s="1"/>
  <c r="Y8" i="19"/>
  <c r="Z8" i="19" s="1"/>
  <c r="L8" i="19"/>
  <c r="N8" i="19"/>
  <c r="K8" i="19"/>
  <c r="M8" i="19"/>
  <c r="P8" i="19"/>
  <c r="Q8" i="19" s="1"/>
  <c r="K13" i="19"/>
  <c r="L13" i="19"/>
  <c r="N16" i="19"/>
  <c r="Y16" i="19"/>
  <c r="Z16" i="19" s="1"/>
  <c r="V16" i="19"/>
  <c r="W16" i="19" s="1"/>
  <c r="L16" i="19"/>
  <c r="K16" i="19"/>
  <c r="S16" i="19"/>
  <c r="T16" i="19" s="1"/>
  <c r="P16" i="19"/>
  <c r="Q16" i="19" s="1"/>
  <c r="M16" i="19"/>
  <c r="S10" i="19"/>
  <c r="T10" i="19" s="1"/>
  <c r="L10" i="19"/>
  <c r="Y10" i="19"/>
  <c r="Z10" i="19" s="1"/>
  <c r="V10" i="19"/>
  <c r="W10" i="19" s="1"/>
  <c r="N10" i="19"/>
  <c r="P10" i="19"/>
  <c r="Q10" i="19" s="1"/>
  <c r="M10" i="19"/>
  <c r="K10" i="19"/>
  <c r="P126" i="19"/>
  <c r="Q126" i="19" s="1"/>
  <c r="Y126" i="19"/>
  <c r="Z126" i="19" s="1"/>
  <c r="V126" i="19"/>
  <c r="W126" i="19" s="1"/>
  <c r="S126" i="19"/>
  <c r="T126" i="19" s="1"/>
  <c r="L126" i="19"/>
  <c r="K126" i="19"/>
  <c r="N126" i="19"/>
  <c r="M126" i="19"/>
  <c r="L134" i="19"/>
  <c r="P134" i="19"/>
  <c r="Q134" i="19" s="1"/>
  <c r="Y134" i="19"/>
  <c r="Z134" i="19" s="1"/>
  <c r="V134" i="19"/>
  <c r="W134" i="19" s="1"/>
  <c r="S134" i="19"/>
  <c r="T134" i="19" s="1"/>
  <c r="K134" i="19"/>
  <c r="M134" i="19"/>
  <c r="N134" i="19"/>
  <c r="N112" i="28" l="1"/>
  <c r="K112" i="28"/>
  <c r="M112" i="28"/>
  <c r="Z25" i="28"/>
  <c r="Z26" i="28" s="1"/>
  <c r="L142" i="28"/>
  <c r="K25" i="28"/>
  <c r="Q112" i="28"/>
  <c r="Q113" i="28" s="1"/>
  <c r="Q83" i="28"/>
  <c r="Q84" i="28" s="1"/>
  <c r="W112" i="28"/>
  <c r="W113" i="28" s="1"/>
  <c r="Q25" i="28"/>
  <c r="Q26" i="28" s="1"/>
  <c r="L25" i="28"/>
  <c r="Z112" i="28"/>
  <c r="Z113" i="28" s="1"/>
  <c r="L112" i="28"/>
  <c r="L83" i="28"/>
  <c r="M25" i="28"/>
  <c r="M26" i="31"/>
  <c r="T112" i="28"/>
  <c r="T113" i="28" s="1"/>
  <c r="M83" i="28"/>
  <c r="T25" i="28"/>
  <c r="T26" i="28" s="1"/>
  <c r="N25" i="28"/>
  <c r="W25" i="28"/>
  <c r="W26" i="28" s="1"/>
  <c r="Q145" i="31"/>
  <c r="Q146" i="31" s="1"/>
  <c r="L26" i="31"/>
  <c r="Z145" i="31"/>
  <c r="Z146" i="31" s="1"/>
  <c r="L145" i="31"/>
  <c r="N26" i="31"/>
  <c r="K26" i="31"/>
  <c r="K145" i="31"/>
  <c r="W26" i="31"/>
  <c r="W27" i="31" s="1"/>
  <c r="T145" i="31"/>
  <c r="T146" i="31" s="1"/>
  <c r="M145" i="31"/>
  <c r="Q26" i="31"/>
  <c r="Q27" i="31" s="1"/>
  <c r="Z26" i="31"/>
  <c r="Z27" i="31" s="1"/>
  <c r="Q56" i="31"/>
  <c r="Q57" i="31" s="1"/>
  <c r="T115" i="31"/>
  <c r="T116" i="31" s="1"/>
  <c r="Z86" i="31"/>
  <c r="Z87" i="31" s="1"/>
  <c r="V13" i="19"/>
  <c r="W13" i="19" s="1"/>
  <c r="P50" i="19"/>
  <c r="Q50" i="19" s="1"/>
  <c r="Y112" i="19"/>
  <c r="Z112" i="19" s="1"/>
  <c r="M54" i="28"/>
  <c r="M142" i="28"/>
  <c r="Z56" i="31"/>
  <c r="Z57" i="31" s="1"/>
  <c r="T86" i="31"/>
  <c r="T87" i="31" s="1"/>
  <c r="W115" i="31"/>
  <c r="W116" i="31" s="1"/>
  <c r="N54" i="28"/>
  <c r="S21" i="19"/>
  <c r="T21" i="19" s="1"/>
  <c r="K83" i="28"/>
  <c r="L54" i="28"/>
  <c r="Q142" i="28"/>
  <c r="Q143" i="28" s="1"/>
  <c r="W56" i="31"/>
  <c r="W57" i="31" s="1"/>
  <c r="L115" i="31"/>
  <c r="K86" i="31"/>
  <c r="T56" i="31"/>
  <c r="T57" i="31" s="1"/>
  <c r="P13" i="19"/>
  <c r="Q13" i="19" s="1"/>
  <c r="L21" i="19"/>
  <c r="Q115" i="31"/>
  <c r="Q116" i="31" s="1"/>
  <c r="Z54" i="28"/>
  <c r="Z55" i="28" s="1"/>
  <c r="T142" i="28"/>
  <c r="T143" i="28" s="1"/>
  <c r="K56" i="31"/>
  <c r="K115" i="31"/>
  <c r="W86" i="31"/>
  <c r="W87" i="31" s="1"/>
  <c r="K54" i="28"/>
  <c r="Q86" i="31"/>
  <c r="Q87" i="31" s="1"/>
  <c r="Z142" i="28"/>
  <c r="Z143" i="28" s="1"/>
  <c r="M13" i="19"/>
  <c r="S13" i="19"/>
  <c r="T13" i="19" s="1"/>
  <c r="S50" i="19"/>
  <c r="T50" i="19" s="1"/>
  <c r="V21" i="19"/>
  <c r="W21" i="19" s="1"/>
  <c r="N83" i="28"/>
  <c r="Q54" i="28"/>
  <c r="Q55" i="28" s="1"/>
  <c r="N142" i="28"/>
  <c r="L56" i="31"/>
  <c r="M86" i="31"/>
  <c r="W54" i="28"/>
  <c r="W55" i="28" s="1"/>
  <c r="W142" i="28"/>
  <c r="W143" i="28" s="1"/>
  <c r="N86" i="31"/>
  <c r="V140" i="19"/>
  <c r="W140" i="19" s="1"/>
  <c r="L50" i="19"/>
  <c r="M56" i="31"/>
  <c r="Y13" i="19"/>
  <c r="Z13" i="19" s="1"/>
  <c r="P21" i="19"/>
  <c r="Q21" i="19" s="1"/>
  <c r="Y21" i="19"/>
  <c r="Z21" i="19" s="1"/>
  <c r="M115" i="31"/>
  <c r="T54" i="28"/>
  <c r="T55" i="28" s="1"/>
  <c r="K142" i="28"/>
  <c r="N56" i="31"/>
  <c r="N115" i="31"/>
  <c r="L86" i="31"/>
  <c r="P96" i="19"/>
  <c r="Q96" i="19" s="1"/>
  <c r="K20" i="19"/>
  <c r="M96" i="19"/>
  <c r="Y75" i="19"/>
  <c r="Z75" i="19" s="1"/>
  <c r="Y52" i="19"/>
  <c r="Z52" i="19" s="1"/>
  <c r="V50" i="19"/>
  <c r="W50" i="19" s="1"/>
  <c r="Y25" i="22"/>
  <c r="Z25" i="22" s="1"/>
  <c r="M39" i="19"/>
  <c r="N103" i="19"/>
  <c r="Y42" i="19"/>
  <c r="Z42" i="19" s="1"/>
  <c r="Y70" i="19"/>
  <c r="Z70" i="19" s="1"/>
  <c r="V42" i="19"/>
  <c r="W42" i="19" s="1"/>
  <c r="N21" i="22"/>
  <c r="N17" i="19"/>
  <c r="K17" i="19"/>
  <c r="P21" i="22"/>
  <c r="Q21" i="22" s="1"/>
  <c r="Y21" i="22"/>
  <c r="Z21" i="22" s="1"/>
  <c r="Y67" i="19"/>
  <c r="Z67" i="19" s="1"/>
  <c r="K69" i="19"/>
  <c r="L70" i="19"/>
  <c r="N42" i="19"/>
  <c r="L128" i="19"/>
  <c r="L135" i="19"/>
  <c r="N128" i="19"/>
  <c r="L21" i="22"/>
  <c r="K128" i="19"/>
  <c r="S128" i="19"/>
  <c r="T128" i="19" s="1"/>
  <c r="Y135" i="19"/>
  <c r="Z135" i="19" s="1"/>
  <c r="Y141" i="19"/>
  <c r="Z141" i="19" s="1"/>
  <c r="K71" i="19"/>
  <c r="V17" i="19"/>
  <c r="W17" i="19" s="1"/>
  <c r="M21" i="22"/>
  <c r="K42" i="19"/>
  <c r="S21" i="22"/>
  <c r="T21" i="22" s="1"/>
  <c r="M135" i="19"/>
  <c r="L17" i="19"/>
  <c r="L42" i="19"/>
  <c r="V135" i="19"/>
  <c r="W135" i="19" s="1"/>
  <c r="P42" i="19"/>
  <c r="Q42" i="19" s="1"/>
  <c r="S17" i="19"/>
  <c r="T17" i="19" s="1"/>
  <c r="P135" i="19"/>
  <c r="Q135" i="19" s="1"/>
  <c r="V21" i="22"/>
  <c r="W21" i="22" s="1"/>
  <c r="N135" i="19"/>
  <c r="M69" i="19"/>
  <c r="Y17" i="19"/>
  <c r="Z17" i="19" s="1"/>
  <c r="V128" i="19"/>
  <c r="W128" i="19" s="1"/>
  <c r="P128" i="19"/>
  <c r="Q128" i="19" s="1"/>
  <c r="S42" i="19"/>
  <c r="T42" i="19" s="1"/>
  <c r="P17" i="19"/>
  <c r="Q17" i="19" s="1"/>
  <c r="S135" i="19"/>
  <c r="T135" i="19" s="1"/>
  <c r="Y128" i="19"/>
  <c r="Z128" i="19" s="1"/>
  <c r="V75" i="19"/>
  <c r="W75" i="19" s="1"/>
  <c r="M138" i="19"/>
  <c r="P138" i="19"/>
  <c r="Q138" i="19" s="1"/>
  <c r="Y138" i="19"/>
  <c r="Z138" i="19" s="1"/>
  <c r="S54" i="19"/>
  <c r="T54" i="19" s="1"/>
  <c r="M75" i="19"/>
  <c r="K75" i="19"/>
  <c r="N75" i="19"/>
  <c r="L75" i="19"/>
  <c r="P75" i="19"/>
  <c r="Q75" i="19" s="1"/>
  <c r="L138" i="19"/>
  <c r="S138" i="19"/>
  <c r="T138" i="19" s="1"/>
  <c r="L103" i="19"/>
  <c r="Y140" i="19"/>
  <c r="Z140" i="19" s="1"/>
  <c r="P39" i="19"/>
  <c r="Q39" i="19" s="1"/>
  <c r="Y39" i="19"/>
  <c r="Z39" i="19" s="1"/>
  <c r="S39" i="19"/>
  <c r="T39" i="19" s="1"/>
  <c r="V39" i="19"/>
  <c r="W39" i="19" s="1"/>
  <c r="V130" i="22"/>
  <c r="W130" i="22" s="1"/>
  <c r="L20" i="19"/>
  <c r="N20" i="19"/>
  <c r="V103" i="19"/>
  <c r="W103" i="19" s="1"/>
  <c r="P103" i="19"/>
  <c r="Q103" i="19" s="1"/>
  <c r="P127" i="19"/>
  <c r="Q127" i="19" s="1"/>
  <c r="S103" i="19"/>
  <c r="T103" i="19" s="1"/>
  <c r="S127" i="19"/>
  <c r="T127" i="19" s="1"/>
  <c r="P20" i="19"/>
  <c r="Q20" i="19" s="1"/>
  <c r="M20" i="19"/>
  <c r="S20" i="19"/>
  <c r="T20" i="19" s="1"/>
  <c r="K103" i="19"/>
  <c r="Y103" i="19"/>
  <c r="Z103" i="19" s="1"/>
  <c r="Y96" i="19"/>
  <c r="Z96" i="19" s="1"/>
  <c r="M40" i="19"/>
  <c r="V20" i="19"/>
  <c r="W20" i="19" s="1"/>
  <c r="S123" i="19"/>
  <c r="T123" i="19" s="1"/>
  <c r="N39" i="19"/>
  <c r="L39" i="19"/>
  <c r="K41" i="19"/>
  <c r="L41" i="19"/>
  <c r="L81" i="22"/>
  <c r="N107" i="19"/>
  <c r="V70" i="19"/>
  <c r="W70" i="19" s="1"/>
  <c r="N70" i="19"/>
  <c r="V81" i="22"/>
  <c r="W81" i="22" s="1"/>
  <c r="M107" i="19"/>
  <c r="M70" i="19"/>
  <c r="V67" i="19"/>
  <c r="W67" i="19" s="1"/>
  <c r="M41" i="19"/>
  <c r="N41" i="19"/>
  <c r="V107" i="19"/>
  <c r="W107" i="19" s="1"/>
  <c r="K107" i="19"/>
  <c r="S70" i="19"/>
  <c r="T70" i="19" s="1"/>
  <c r="Y41" i="19"/>
  <c r="Z41" i="19" s="1"/>
  <c r="P70" i="19"/>
  <c r="Q70" i="19" s="1"/>
  <c r="Y107" i="19"/>
  <c r="Z107" i="19" s="1"/>
  <c r="S107" i="19"/>
  <c r="T107" i="19" s="1"/>
  <c r="L107" i="19"/>
  <c r="P99" i="19"/>
  <c r="Q99" i="19" s="1"/>
  <c r="M100" i="19"/>
  <c r="V99" i="19"/>
  <c r="W99" i="19" s="1"/>
  <c r="L100" i="19"/>
  <c r="K99" i="19"/>
  <c r="L99" i="19"/>
  <c r="S99" i="19"/>
  <c r="T99" i="19" s="1"/>
  <c r="N99" i="19"/>
  <c r="M99" i="19"/>
  <c r="N96" i="19"/>
  <c r="K96" i="19"/>
  <c r="L96" i="19"/>
  <c r="V96" i="19"/>
  <c r="W96" i="19" s="1"/>
  <c r="S100" i="19"/>
  <c r="T100" i="19" s="1"/>
  <c r="N100" i="19"/>
  <c r="V100" i="19"/>
  <c r="W100" i="19" s="1"/>
  <c r="Y100" i="19"/>
  <c r="Z100" i="19" s="1"/>
  <c r="K100" i="19"/>
  <c r="S69" i="19"/>
  <c r="T69" i="19" s="1"/>
  <c r="P69" i="19"/>
  <c r="Q69" i="19" s="1"/>
  <c r="Y69" i="19"/>
  <c r="Z69" i="19" s="1"/>
  <c r="V69" i="19"/>
  <c r="W69" i="19" s="1"/>
  <c r="Y71" i="19"/>
  <c r="Z71" i="19" s="1"/>
  <c r="N69" i="19"/>
  <c r="S65" i="19"/>
  <c r="T65" i="19" s="1"/>
  <c r="S83" i="19"/>
  <c r="T83" i="19" s="1"/>
  <c r="N71" i="19"/>
  <c r="L71" i="19"/>
  <c r="M81" i="22"/>
  <c r="K67" i="19"/>
  <c r="N81" i="22"/>
  <c r="Y81" i="22"/>
  <c r="Z81" i="22" s="1"/>
  <c r="S71" i="19"/>
  <c r="T71" i="19" s="1"/>
  <c r="M67" i="19"/>
  <c r="L67" i="19"/>
  <c r="M71" i="19"/>
  <c r="N67" i="19"/>
  <c r="S81" i="22"/>
  <c r="T81" i="22" s="1"/>
  <c r="P67" i="19"/>
  <c r="Q67" i="19" s="1"/>
  <c r="P71" i="19"/>
  <c r="Q71" i="19" s="1"/>
  <c r="K81" i="22"/>
  <c r="Y37" i="19"/>
  <c r="Z37" i="19" s="1"/>
  <c r="L40" i="19"/>
  <c r="P37" i="19"/>
  <c r="Q37" i="19" s="1"/>
  <c r="P40" i="19"/>
  <c r="Q40" i="19" s="1"/>
  <c r="S40" i="19"/>
  <c r="T40" i="19" s="1"/>
  <c r="N40" i="19"/>
  <c r="S37" i="19"/>
  <c r="T37" i="19" s="1"/>
  <c r="V40" i="19"/>
  <c r="W40" i="19" s="1"/>
  <c r="N37" i="19"/>
  <c r="K37" i="19"/>
  <c r="K40" i="19"/>
  <c r="V37" i="19"/>
  <c r="W37" i="19" s="1"/>
  <c r="M37" i="19"/>
  <c r="V41" i="19"/>
  <c r="W41" i="19" s="1"/>
  <c r="S43" i="22"/>
  <c r="T43" i="22" s="1"/>
  <c r="Y50" i="19"/>
  <c r="Z50" i="19" s="1"/>
  <c r="N50" i="19"/>
  <c r="S18" i="19"/>
  <c r="T18" i="19" s="1"/>
  <c r="N18" i="19"/>
  <c r="K18" i="19"/>
  <c r="N19" i="19"/>
  <c r="P18" i="19"/>
  <c r="Q18" i="19" s="1"/>
  <c r="V18" i="19"/>
  <c r="W18" i="19" s="1"/>
  <c r="Y18" i="19"/>
  <c r="Z18" i="19" s="1"/>
  <c r="S10" i="22"/>
  <c r="T10" i="22" s="1"/>
  <c r="L18" i="19"/>
  <c r="L38" i="22"/>
  <c r="P38" i="22"/>
  <c r="S41" i="22"/>
  <c r="T41" i="22" s="1"/>
  <c r="L41" i="22"/>
  <c r="P51" i="22"/>
  <c r="Q51" i="22" s="1"/>
  <c r="L51" i="22"/>
  <c r="N98" i="22"/>
  <c r="Y16" i="22"/>
  <c r="Z16" i="22" s="1"/>
  <c r="V139" i="19"/>
  <c r="W139" i="19" s="1"/>
  <c r="N139" i="19"/>
  <c r="S137" i="19"/>
  <c r="T137" i="19" s="1"/>
  <c r="K102" i="22"/>
  <c r="Y102" i="22"/>
  <c r="Z102" i="22" s="1"/>
  <c r="K98" i="22"/>
  <c r="N102" i="22"/>
  <c r="P102" i="22"/>
  <c r="Q102" i="22" s="1"/>
  <c r="Y98" i="19"/>
  <c r="Z98" i="19" s="1"/>
  <c r="S102" i="22"/>
  <c r="T102" i="22" s="1"/>
  <c r="K71" i="22"/>
  <c r="Y64" i="19"/>
  <c r="Z64" i="19" s="1"/>
  <c r="S79" i="19"/>
  <c r="T79" i="19" s="1"/>
  <c r="N43" i="22"/>
  <c r="Y43" i="22"/>
  <c r="Z43" i="22" s="1"/>
  <c r="K43" i="22"/>
  <c r="M43" i="22"/>
  <c r="P43" i="22"/>
  <c r="Q43" i="22" s="1"/>
  <c r="K46" i="19"/>
  <c r="V43" i="22"/>
  <c r="W43" i="22" s="1"/>
  <c r="N52" i="19"/>
  <c r="S15" i="19"/>
  <c r="T15" i="19" s="1"/>
  <c r="S41" i="19"/>
  <c r="T41" i="19" s="1"/>
  <c r="V79" i="19"/>
  <c r="W79" i="19" s="1"/>
  <c r="S19" i="19"/>
  <c r="T19" i="19" s="1"/>
  <c r="M79" i="19"/>
  <c r="S130" i="22"/>
  <c r="T130" i="22" s="1"/>
  <c r="N137" i="19"/>
  <c r="M19" i="19"/>
  <c r="P130" i="22"/>
  <c r="Q130" i="22" s="1"/>
  <c r="M98" i="19"/>
  <c r="K79" i="19"/>
  <c r="N140" i="19"/>
  <c r="K98" i="19"/>
  <c r="Y130" i="22"/>
  <c r="Z130" i="22" s="1"/>
  <c r="L98" i="19"/>
  <c r="N98" i="19"/>
  <c r="Y36" i="19"/>
  <c r="Z36" i="19" s="1"/>
  <c r="M140" i="19"/>
  <c r="L79" i="19"/>
  <c r="K140" i="19"/>
  <c r="K130" i="22"/>
  <c r="Y137" i="19"/>
  <c r="Z137" i="19" s="1"/>
  <c r="S125" i="22"/>
  <c r="T125" i="22" s="1"/>
  <c r="V51" i="22"/>
  <c r="W51" i="22" s="1"/>
  <c r="N130" i="22"/>
  <c r="L140" i="19"/>
  <c r="M127" i="19"/>
  <c r="K137" i="19"/>
  <c r="L127" i="19"/>
  <c r="P98" i="19"/>
  <c r="Q98" i="19" s="1"/>
  <c r="P137" i="19"/>
  <c r="Q137" i="19" s="1"/>
  <c r="Y79" i="19"/>
  <c r="Z79" i="19" s="1"/>
  <c r="V127" i="19"/>
  <c r="W127" i="19" s="1"/>
  <c r="Y19" i="19"/>
  <c r="Z19" i="19" s="1"/>
  <c r="S140" i="19"/>
  <c r="T140" i="19" s="1"/>
  <c r="S98" i="19"/>
  <c r="T98" i="19" s="1"/>
  <c r="N51" i="22"/>
  <c r="V102" i="22"/>
  <c r="W102" i="22" s="1"/>
  <c r="L130" i="22"/>
  <c r="N16" i="22"/>
  <c r="M137" i="19"/>
  <c r="K127" i="19"/>
  <c r="P19" i="19"/>
  <c r="Q19" i="19" s="1"/>
  <c r="N127" i="19"/>
  <c r="M38" i="19"/>
  <c r="L137" i="19"/>
  <c r="N79" i="19"/>
  <c r="V19" i="19"/>
  <c r="W19" i="19" s="1"/>
  <c r="K19" i="19"/>
  <c r="Y51" i="22"/>
  <c r="Z51" i="22" s="1"/>
  <c r="M128" i="22"/>
  <c r="M102" i="22"/>
  <c r="N38" i="19"/>
  <c r="Y128" i="22"/>
  <c r="Z128" i="22" s="1"/>
  <c r="K38" i="19"/>
  <c r="S139" i="19"/>
  <c r="T139" i="19" s="1"/>
  <c r="S128" i="22"/>
  <c r="T128" i="22" s="1"/>
  <c r="V15" i="19"/>
  <c r="W15" i="19" s="1"/>
  <c r="M97" i="19"/>
  <c r="K52" i="19"/>
  <c r="N128" i="22"/>
  <c r="Y15" i="19"/>
  <c r="Z15" i="19" s="1"/>
  <c r="V97" i="19"/>
  <c r="W97" i="19" s="1"/>
  <c r="P52" i="19"/>
  <c r="Q52" i="19" s="1"/>
  <c r="S52" i="19"/>
  <c r="T52" i="19" s="1"/>
  <c r="Y38" i="19"/>
  <c r="Z38" i="19" s="1"/>
  <c r="M52" i="19"/>
  <c r="P128" i="22"/>
  <c r="Q128" i="22" s="1"/>
  <c r="Y104" i="19"/>
  <c r="Z104" i="19" s="1"/>
  <c r="K97" i="19"/>
  <c r="M68" i="19"/>
  <c r="K128" i="22"/>
  <c r="V46" i="22"/>
  <c r="W46" i="22" s="1"/>
  <c r="P104" i="19"/>
  <c r="Q104" i="19" s="1"/>
  <c r="S97" i="19"/>
  <c r="T97" i="19" s="1"/>
  <c r="L38" i="19"/>
  <c r="P38" i="19"/>
  <c r="Q38" i="19" s="1"/>
  <c r="S38" i="19"/>
  <c r="T38" i="19" s="1"/>
  <c r="L52" i="19"/>
  <c r="S36" i="22"/>
  <c r="T36" i="22" s="1"/>
  <c r="V128" i="22"/>
  <c r="W128" i="22" s="1"/>
  <c r="P41" i="22"/>
  <c r="Q41" i="22" s="1"/>
  <c r="L104" i="19"/>
  <c r="L97" i="19"/>
  <c r="P139" i="19"/>
  <c r="Q139" i="19" s="1"/>
  <c r="P11" i="19"/>
  <c r="Q11" i="19" s="1"/>
  <c r="S98" i="22"/>
  <c r="T98" i="22" s="1"/>
  <c r="P16" i="22"/>
  <c r="Q16" i="22" s="1"/>
  <c r="V46" i="19"/>
  <c r="W46" i="19" s="1"/>
  <c r="Y11" i="19"/>
  <c r="Z11" i="19" s="1"/>
  <c r="N11" i="19"/>
  <c r="Y114" i="22"/>
  <c r="Z114" i="22" s="1"/>
  <c r="K16" i="22"/>
  <c r="N104" i="19"/>
  <c r="L46" i="19"/>
  <c r="S6" i="19"/>
  <c r="T6" i="19" s="1"/>
  <c r="S11" i="19"/>
  <c r="T11" i="19" s="1"/>
  <c r="K139" i="19"/>
  <c r="V16" i="22"/>
  <c r="W16" i="22" s="1"/>
  <c r="K15" i="19"/>
  <c r="K104" i="19"/>
  <c r="M46" i="19"/>
  <c r="M11" i="19"/>
  <c r="S63" i="19"/>
  <c r="T63" i="19" s="1"/>
  <c r="L139" i="19"/>
  <c r="M98" i="22"/>
  <c r="L16" i="22"/>
  <c r="N15" i="19"/>
  <c r="M104" i="19"/>
  <c r="L11" i="19"/>
  <c r="P46" i="19"/>
  <c r="Q46" i="19" s="1"/>
  <c r="V11" i="19"/>
  <c r="W11" i="19" s="1"/>
  <c r="M139" i="19"/>
  <c r="Y98" i="22"/>
  <c r="Z98" i="22" s="1"/>
  <c r="S16" i="22"/>
  <c r="T16" i="22" s="1"/>
  <c r="M15" i="19"/>
  <c r="S104" i="19"/>
  <c r="T104" i="19" s="1"/>
  <c r="N46" i="19"/>
  <c r="N97" i="19"/>
  <c r="Y46" i="19"/>
  <c r="Z46" i="19" s="1"/>
  <c r="Y71" i="22"/>
  <c r="Z71" i="22" s="1"/>
  <c r="V98" i="22"/>
  <c r="W98" i="22" s="1"/>
  <c r="K41" i="22"/>
  <c r="P15" i="19"/>
  <c r="Q15" i="19" s="1"/>
  <c r="Y97" i="19"/>
  <c r="Z97" i="19" s="1"/>
  <c r="V41" i="22"/>
  <c r="W41" i="22" s="1"/>
  <c r="Y144" i="22"/>
  <c r="Z144" i="22" s="1"/>
  <c r="N41" i="22"/>
  <c r="M41" i="22"/>
  <c r="K46" i="22"/>
  <c r="V71" i="22"/>
  <c r="W71" i="22" s="1"/>
  <c r="N10" i="22"/>
  <c r="N68" i="19"/>
  <c r="S124" i="19"/>
  <c r="T124" i="19" s="1"/>
  <c r="L71" i="22"/>
  <c r="P10" i="22"/>
  <c r="Q10" i="22" s="1"/>
  <c r="Y46" i="22"/>
  <c r="Z46" i="22" s="1"/>
  <c r="Y10" i="22"/>
  <c r="Z10" i="22" s="1"/>
  <c r="M71" i="22"/>
  <c r="K10" i="22"/>
  <c r="M46" i="22"/>
  <c r="Y68" i="19"/>
  <c r="Z68" i="19" s="1"/>
  <c r="N71" i="22"/>
  <c r="V10" i="22"/>
  <c r="W10" i="22" s="1"/>
  <c r="N46" i="22"/>
  <c r="K68" i="19"/>
  <c r="V68" i="19"/>
  <c r="W68" i="19" s="1"/>
  <c r="S93" i="19"/>
  <c r="T93" i="19" s="1"/>
  <c r="S68" i="19"/>
  <c r="T68" i="19" s="1"/>
  <c r="M51" i="22"/>
  <c r="S71" i="22"/>
  <c r="T71" i="22" s="1"/>
  <c r="M10" i="22"/>
  <c r="L98" i="22"/>
  <c r="P46" i="22"/>
  <c r="Q46" i="22" s="1"/>
  <c r="Y41" i="22"/>
  <c r="Z41" i="22" s="1"/>
  <c r="P136" i="22"/>
  <c r="Q136" i="22" s="1"/>
  <c r="P68" i="19"/>
  <c r="Q68" i="19" s="1"/>
  <c r="Y141" i="22"/>
  <c r="Z141" i="22" s="1"/>
  <c r="K51" i="22"/>
  <c r="S46" i="22"/>
  <c r="T46" i="22" s="1"/>
  <c r="N136" i="22"/>
  <c r="S136" i="22"/>
  <c r="T136" i="22" s="1"/>
  <c r="K136" i="22"/>
  <c r="L136" i="22"/>
  <c r="Y25" i="19"/>
  <c r="Z25" i="19" s="1"/>
  <c r="V136" i="22"/>
  <c r="W136" i="22" s="1"/>
  <c r="M136" i="22"/>
  <c r="S141" i="22"/>
  <c r="T141" i="22" s="1"/>
  <c r="L141" i="22"/>
  <c r="P109" i="22"/>
  <c r="Q109" i="22" s="1"/>
  <c r="Y109" i="22"/>
  <c r="Z109" i="22" s="1"/>
  <c r="S109" i="22"/>
  <c r="T109" i="22" s="1"/>
  <c r="M109" i="22"/>
  <c r="V109" i="22"/>
  <c r="W109" i="22" s="1"/>
  <c r="K109" i="22"/>
  <c r="L109" i="22"/>
  <c r="N109" i="22"/>
  <c r="N9" i="22"/>
  <c r="S9" i="22"/>
  <c r="T9" i="22" s="1"/>
  <c r="L9" i="22"/>
  <c r="P9" i="22"/>
  <c r="Q9" i="22" s="1"/>
  <c r="K9" i="22"/>
  <c r="Y9" i="22"/>
  <c r="Z9" i="22" s="1"/>
  <c r="V9" i="22"/>
  <c r="W9" i="22" s="1"/>
  <c r="M9" i="22"/>
  <c r="N79" i="22"/>
  <c r="Y79" i="22"/>
  <c r="Z79" i="22" s="1"/>
  <c r="V79" i="22"/>
  <c r="W79" i="22" s="1"/>
  <c r="P79" i="22"/>
  <c r="Q79" i="22" s="1"/>
  <c r="M79" i="22"/>
  <c r="K79" i="22"/>
  <c r="L79" i="22"/>
  <c r="S79" i="22"/>
  <c r="T79" i="22" s="1"/>
  <c r="N69" i="22"/>
  <c r="K69" i="22"/>
  <c r="Y69" i="22"/>
  <c r="Z69" i="22" s="1"/>
  <c r="P69" i="22"/>
  <c r="Q69" i="22" s="1"/>
  <c r="V69" i="22"/>
  <c r="W69" i="22" s="1"/>
  <c r="S69" i="22"/>
  <c r="T69" i="22" s="1"/>
  <c r="M69" i="22"/>
  <c r="L69" i="22"/>
  <c r="V50" i="22"/>
  <c r="W50" i="22" s="1"/>
  <c r="Y50" i="22"/>
  <c r="Z50" i="22" s="1"/>
  <c r="K50" i="22"/>
  <c r="S50" i="22"/>
  <c r="T50" i="22" s="1"/>
  <c r="N50" i="22"/>
  <c r="M50" i="22"/>
  <c r="P50" i="22"/>
  <c r="Q50" i="22" s="1"/>
  <c r="L137" i="22"/>
  <c r="V137" i="22"/>
  <c r="W137" i="22" s="1"/>
  <c r="K137" i="22"/>
  <c r="S137" i="22"/>
  <c r="T137" i="22" s="1"/>
  <c r="P137" i="22"/>
  <c r="Q137" i="22" s="1"/>
  <c r="N137" i="22"/>
  <c r="M137" i="22"/>
  <c r="Y137" i="22"/>
  <c r="Z137" i="22" s="1"/>
  <c r="M19" i="22"/>
  <c r="Y19" i="22"/>
  <c r="Z19" i="22" s="1"/>
  <c r="K19" i="22"/>
  <c r="V19" i="22"/>
  <c r="W19" i="22" s="1"/>
  <c r="S19" i="22"/>
  <c r="T19" i="22" s="1"/>
  <c r="L19" i="22"/>
  <c r="N19" i="22"/>
  <c r="P19" i="22"/>
  <c r="Q19" i="22" s="1"/>
  <c r="N141" i="22"/>
  <c r="K8" i="22"/>
  <c r="M8" i="22"/>
  <c r="Y8" i="22"/>
  <c r="Z8" i="22" s="1"/>
  <c r="S8" i="22"/>
  <c r="T8" i="22" s="1"/>
  <c r="N8" i="22"/>
  <c r="P8" i="22"/>
  <c r="Q8" i="22" s="1"/>
  <c r="L8" i="22"/>
  <c r="V8" i="22"/>
  <c r="W8" i="22" s="1"/>
  <c r="K73" i="22"/>
  <c r="Y73" i="22"/>
  <c r="Z73" i="22" s="1"/>
  <c r="S73" i="22"/>
  <c r="T73" i="22" s="1"/>
  <c r="L73" i="22"/>
  <c r="P73" i="22"/>
  <c r="Q73" i="22" s="1"/>
  <c r="M73" i="22"/>
  <c r="V73" i="22"/>
  <c r="W73" i="22" s="1"/>
  <c r="N73" i="22"/>
  <c r="Y107" i="22"/>
  <c r="Z107" i="22" s="1"/>
  <c r="M107" i="22"/>
  <c r="L107" i="22"/>
  <c r="N107" i="22"/>
  <c r="V107" i="22"/>
  <c r="W107" i="22" s="1"/>
  <c r="P107" i="22"/>
  <c r="Q107" i="22" s="1"/>
  <c r="K107" i="22"/>
  <c r="S107" i="22"/>
  <c r="T107" i="22" s="1"/>
  <c r="Y99" i="22"/>
  <c r="Z99" i="22" s="1"/>
  <c r="L99" i="22"/>
  <c r="V99" i="22"/>
  <c r="W99" i="22" s="1"/>
  <c r="P99" i="22"/>
  <c r="Q99" i="22" s="1"/>
  <c r="K99" i="22"/>
  <c r="N99" i="22"/>
  <c r="S99" i="22"/>
  <c r="T99" i="22" s="1"/>
  <c r="M99" i="22"/>
  <c r="S11" i="22"/>
  <c r="T11" i="22" s="1"/>
  <c r="N11" i="22"/>
  <c r="L11" i="22"/>
  <c r="V11" i="22"/>
  <c r="W11" i="22" s="1"/>
  <c r="K11" i="22"/>
  <c r="Y11" i="22"/>
  <c r="Z11" i="22" s="1"/>
  <c r="P11" i="22"/>
  <c r="Q11" i="22" s="1"/>
  <c r="M11" i="22"/>
  <c r="K105" i="22"/>
  <c r="S105" i="22"/>
  <c r="T105" i="22" s="1"/>
  <c r="P105" i="22"/>
  <c r="Q105" i="22" s="1"/>
  <c r="N105" i="22"/>
  <c r="Y105" i="22"/>
  <c r="Z105" i="22" s="1"/>
  <c r="M105" i="22"/>
  <c r="L105" i="22"/>
  <c r="V105" i="22"/>
  <c r="W105" i="22" s="1"/>
  <c r="P141" i="22"/>
  <c r="Q141" i="22" s="1"/>
  <c r="M18" i="22"/>
  <c r="Y18" i="22"/>
  <c r="Z18" i="22" s="1"/>
  <c r="L18" i="22"/>
  <c r="S18" i="22"/>
  <c r="T18" i="22" s="1"/>
  <c r="P18" i="22"/>
  <c r="Q18" i="22" s="1"/>
  <c r="N18" i="22"/>
  <c r="K18" i="22"/>
  <c r="V18" i="22"/>
  <c r="W18" i="22" s="1"/>
  <c r="N106" i="22"/>
  <c r="Y106" i="22"/>
  <c r="Z106" i="22" s="1"/>
  <c r="M106" i="22"/>
  <c r="L106" i="22"/>
  <c r="K106" i="22"/>
  <c r="V106" i="22"/>
  <c r="W106" i="22" s="1"/>
  <c r="S106" i="22"/>
  <c r="T106" i="22" s="1"/>
  <c r="P106" i="22"/>
  <c r="Q106" i="22" s="1"/>
  <c r="Y77" i="22"/>
  <c r="Z77" i="22" s="1"/>
  <c r="N77" i="22"/>
  <c r="M77" i="22"/>
  <c r="K77" i="22"/>
  <c r="P77" i="22"/>
  <c r="Q77" i="22" s="1"/>
  <c r="V77" i="22"/>
  <c r="W77" i="22" s="1"/>
  <c r="S77" i="22"/>
  <c r="T77" i="22" s="1"/>
  <c r="L77" i="22"/>
  <c r="L132" i="22"/>
  <c r="V132" i="22"/>
  <c r="W132" i="22" s="1"/>
  <c r="K132" i="22"/>
  <c r="S132" i="22"/>
  <c r="T132" i="22" s="1"/>
  <c r="P132" i="22"/>
  <c r="Q132" i="22" s="1"/>
  <c r="M132" i="22"/>
  <c r="N132" i="22"/>
  <c r="Y132" i="22"/>
  <c r="Z132" i="22" s="1"/>
  <c r="M44" i="22"/>
  <c r="N44" i="22"/>
  <c r="V44" i="22"/>
  <c r="W44" i="22" s="1"/>
  <c r="P44" i="22"/>
  <c r="Q44" i="22" s="1"/>
  <c r="S44" i="22"/>
  <c r="T44" i="22" s="1"/>
  <c r="Y44" i="22"/>
  <c r="Z44" i="22" s="1"/>
  <c r="K44" i="22"/>
  <c r="Y101" i="22"/>
  <c r="Z101" i="22" s="1"/>
  <c r="M101" i="22"/>
  <c r="L101" i="22"/>
  <c r="V101" i="22"/>
  <c r="W101" i="22" s="1"/>
  <c r="K101" i="22"/>
  <c r="S101" i="22"/>
  <c r="T101" i="22" s="1"/>
  <c r="N101" i="22"/>
  <c r="P101" i="22"/>
  <c r="Q101" i="22" s="1"/>
  <c r="V40" i="22"/>
  <c r="W40" i="22" s="1"/>
  <c r="S40" i="22"/>
  <c r="T40" i="22" s="1"/>
  <c r="P40" i="22"/>
  <c r="Q40" i="22" s="1"/>
  <c r="N40" i="22"/>
  <c r="M40" i="22"/>
  <c r="K40" i="22"/>
  <c r="Y40" i="22"/>
  <c r="Z40" i="22" s="1"/>
  <c r="M70" i="22"/>
  <c r="V70" i="22"/>
  <c r="W70" i="22" s="1"/>
  <c r="L70" i="22"/>
  <c r="S70" i="22"/>
  <c r="T70" i="22" s="1"/>
  <c r="P70" i="22"/>
  <c r="Q70" i="22" s="1"/>
  <c r="N70" i="22"/>
  <c r="K70" i="22"/>
  <c r="Y70" i="22"/>
  <c r="Z70" i="22" s="1"/>
  <c r="L20" i="22"/>
  <c r="Y20" i="22"/>
  <c r="Z20" i="22" s="1"/>
  <c r="K20" i="22"/>
  <c r="V20" i="22"/>
  <c r="W20" i="22" s="1"/>
  <c r="M20" i="22"/>
  <c r="S20" i="22"/>
  <c r="T20" i="22" s="1"/>
  <c r="P20" i="22"/>
  <c r="Q20" i="22" s="1"/>
  <c r="N20" i="22"/>
  <c r="L129" i="22"/>
  <c r="V129" i="22"/>
  <c r="W129" i="22" s="1"/>
  <c r="K129" i="22"/>
  <c r="S129" i="22"/>
  <c r="T129" i="22" s="1"/>
  <c r="P129" i="22"/>
  <c r="Q129" i="22" s="1"/>
  <c r="M129" i="22"/>
  <c r="N129" i="22"/>
  <c r="Y129" i="22"/>
  <c r="Z129" i="22" s="1"/>
  <c r="N17" i="22"/>
  <c r="Y17" i="22"/>
  <c r="Z17" i="22" s="1"/>
  <c r="M17" i="22"/>
  <c r="V17" i="22"/>
  <c r="W17" i="22" s="1"/>
  <c r="L17" i="22"/>
  <c r="K17" i="22"/>
  <c r="S17" i="22"/>
  <c r="T17" i="22" s="1"/>
  <c r="P17" i="22"/>
  <c r="Q17" i="22" s="1"/>
  <c r="K139" i="22"/>
  <c r="S139" i="22"/>
  <c r="T139" i="22" s="1"/>
  <c r="P139" i="22"/>
  <c r="Q139" i="22" s="1"/>
  <c r="N139" i="22"/>
  <c r="M139" i="22"/>
  <c r="Y139" i="22"/>
  <c r="Z139" i="22" s="1"/>
  <c r="L139" i="22"/>
  <c r="V139" i="22"/>
  <c r="W139" i="22" s="1"/>
  <c r="K47" i="22"/>
  <c r="V47" i="22"/>
  <c r="W47" i="22" s="1"/>
  <c r="S47" i="22"/>
  <c r="T47" i="22" s="1"/>
  <c r="P47" i="22"/>
  <c r="Q47" i="22" s="1"/>
  <c r="N47" i="22"/>
  <c r="M47" i="22"/>
  <c r="Y47" i="22"/>
  <c r="Z47" i="22" s="1"/>
  <c r="V72" i="22"/>
  <c r="W72" i="22" s="1"/>
  <c r="S72" i="22"/>
  <c r="T72" i="22" s="1"/>
  <c r="M72" i="22"/>
  <c r="L72" i="22"/>
  <c r="P72" i="22"/>
  <c r="Q72" i="22" s="1"/>
  <c r="N72" i="22"/>
  <c r="Y72" i="22"/>
  <c r="Z72" i="22" s="1"/>
  <c r="K72" i="22"/>
  <c r="N39" i="22"/>
  <c r="K39" i="22"/>
  <c r="V39" i="22"/>
  <c r="W39" i="22" s="1"/>
  <c r="P39" i="22"/>
  <c r="Q39" i="22" s="1"/>
  <c r="S39" i="22"/>
  <c r="T39" i="22" s="1"/>
  <c r="Y39" i="22"/>
  <c r="Z39" i="22" s="1"/>
  <c r="M39" i="22"/>
  <c r="Y15" i="22"/>
  <c r="Z15" i="22" s="1"/>
  <c r="M15" i="22"/>
  <c r="L15" i="22"/>
  <c r="S15" i="22"/>
  <c r="T15" i="22" s="1"/>
  <c r="V15" i="22"/>
  <c r="W15" i="22" s="1"/>
  <c r="K15" i="22"/>
  <c r="P15" i="22"/>
  <c r="Q15" i="22" s="1"/>
  <c r="N15" i="22"/>
  <c r="M38" i="22"/>
  <c r="S38" i="22"/>
  <c r="T38" i="22" s="1"/>
  <c r="K38" i="22"/>
  <c r="V38" i="22"/>
  <c r="W38" i="22" s="1"/>
  <c r="Y38" i="22"/>
  <c r="Z38" i="22" s="1"/>
  <c r="N38" i="22"/>
  <c r="Q38" i="22"/>
  <c r="K100" i="22"/>
  <c r="S100" i="22"/>
  <c r="T100" i="22" s="1"/>
  <c r="P100" i="22"/>
  <c r="Q100" i="22" s="1"/>
  <c r="M100" i="22"/>
  <c r="N100" i="22"/>
  <c r="L100" i="22"/>
  <c r="Y100" i="22"/>
  <c r="Z100" i="22" s="1"/>
  <c r="V100" i="22"/>
  <c r="W100" i="22" s="1"/>
  <c r="S67" i="22"/>
  <c r="T67" i="22" s="1"/>
  <c r="V141" i="22"/>
  <c r="W141" i="22" s="1"/>
  <c r="P42" i="22"/>
  <c r="Q42" i="22" s="1"/>
  <c r="Y42" i="22"/>
  <c r="Z42" i="22" s="1"/>
  <c r="V42" i="22"/>
  <c r="W42" i="22" s="1"/>
  <c r="S42" i="22"/>
  <c r="T42" i="22" s="1"/>
  <c r="M42" i="22"/>
  <c r="K42" i="22"/>
  <c r="N42" i="22"/>
  <c r="M13" i="22"/>
  <c r="L13" i="22"/>
  <c r="V13" i="22"/>
  <c r="W13" i="22" s="1"/>
  <c r="S13" i="22"/>
  <c r="T13" i="22" s="1"/>
  <c r="K13" i="22"/>
  <c r="P13" i="22"/>
  <c r="Q13" i="22" s="1"/>
  <c r="Y13" i="22"/>
  <c r="Z13" i="22" s="1"/>
  <c r="N13" i="22"/>
  <c r="Y85" i="22"/>
  <c r="Z85" i="22" s="1"/>
  <c r="S85" i="22"/>
  <c r="T85" i="22" s="1"/>
  <c r="S142" i="19"/>
  <c r="T142" i="19" s="1"/>
  <c r="S55" i="22"/>
  <c r="T55" i="22" s="1"/>
  <c r="Y55" i="22"/>
  <c r="Z55" i="22" s="1"/>
  <c r="Y140" i="22"/>
  <c r="Z140" i="22" s="1"/>
  <c r="N140" i="22"/>
  <c r="P140" i="22"/>
  <c r="Q140" i="22" s="1"/>
  <c r="K141" i="22"/>
  <c r="S140" i="22"/>
  <c r="T140" i="22" s="1"/>
  <c r="V140" i="22"/>
  <c r="W140" i="22" s="1"/>
  <c r="K140" i="22"/>
  <c r="M140" i="22"/>
  <c r="S143" i="22"/>
  <c r="T143" i="22" s="1"/>
  <c r="Y143" i="22"/>
  <c r="Z143" i="22" s="1"/>
  <c r="Y53" i="22"/>
  <c r="Z53" i="22" s="1"/>
  <c r="K53" i="22"/>
  <c r="S53" i="22"/>
  <c r="T53" i="22" s="1"/>
  <c r="P53" i="22"/>
  <c r="Q53" i="22" s="1"/>
  <c r="N53" i="22"/>
  <c r="V53" i="22"/>
  <c r="W53" i="22" s="1"/>
  <c r="M53" i="22"/>
  <c r="Y142" i="22"/>
  <c r="Z142" i="22" s="1"/>
  <c r="P142" i="22"/>
  <c r="Q142" i="22" s="1"/>
  <c r="M142" i="22"/>
  <c r="N142" i="22"/>
  <c r="L142" i="22"/>
  <c r="V142" i="22"/>
  <c r="W142" i="22" s="1"/>
  <c r="K142" i="22"/>
  <c r="S142" i="22"/>
  <c r="T142" i="22" s="1"/>
  <c r="V112" i="22"/>
  <c r="W112" i="22" s="1"/>
  <c r="K112" i="22"/>
  <c r="S112" i="22"/>
  <c r="T112" i="22" s="1"/>
  <c r="P112" i="22"/>
  <c r="Q112" i="22" s="1"/>
  <c r="M112" i="22"/>
  <c r="L112" i="22"/>
  <c r="N112" i="22"/>
  <c r="Y112" i="22"/>
  <c r="Z112" i="22" s="1"/>
  <c r="Y7" i="22"/>
  <c r="Z7" i="22" s="1"/>
  <c r="S7" i="22"/>
  <c r="T7" i="22" s="1"/>
  <c r="Y65" i="22"/>
  <c r="Z65" i="22" s="1"/>
  <c r="S65" i="22"/>
  <c r="T65" i="22" s="1"/>
  <c r="Y124" i="22"/>
  <c r="Z124" i="22" s="1"/>
  <c r="S124" i="22"/>
  <c r="T124" i="22" s="1"/>
  <c r="S126" i="22"/>
  <c r="T126" i="22" s="1"/>
  <c r="Y126" i="22"/>
  <c r="Z126" i="22" s="1"/>
  <c r="S37" i="22"/>
  <c r="T37" i="22" s="1"/>
  <c r="Y37" i="22"/>
  <c r="Z37" i="22" s="1"/>
  <c r="Y6" i="22"/>
  <c r="Z6" i="22" s="1"/>
  <c r="S6" i="22"/>
  <c r="T6" i="22" s="1"/>
  <c r="Q6" i="24"/>
  <c r="R6" i="24" s="1"/>
  <c r="Y66" i="22"/>
  <c r="Z66" i="22" s="1"/>
  <c r="S66" i="22"/>
  <c r="T66" i="22" s="1"/>
  <c r="S35" i="22"/>
  <c r="T35" i="22" s="1"/>
  <c r="Y35" i="22"/>
  <c r="Z35" i="22" s="1"/>
  <c r="S95" i="22"/>
  <c r="T95" i="22" s="1"/>
  <c r="Y95" i="22"/>
  <c r="Z95" i="22" s="1"/>
  <c r="K4" i="24"/>
  <c r="L4" i="24" s="1"/>
  <c r="Y96" i="22"/>
  <c r="Z96" i="22" s="1"/>
  <c r="S96" i="22"/>
  <c r="T96" i="22" s="1"/>
  <c r="N26" i="19" l="1"/>
  <c r="L84" i="19"/>
  <c r="Q84" i="19"/>
  <c r="Q85" i="19" s="1"/>
  <c r="Z143" i="19"/>
  <c r="Z144" i="19" s="1"/>
  <c r="K26" i="19"/>
  <c r="Q143" i="19"/>
  <c r="Q144" i="19" s="1"/>
  <c r="W113" i="19"/>
  <c r="W114" i="19" s="1"/>
  <c r="Z84" i="19"/>
  <c r="Z85" i="19" s="1"/>
  <c r="W55" i="19"/>
  <c r="W56" i="19" s="1"/>
  <c r="T26" i="19"/>
  <c r="T27" i="19" s="1"/>
  <c r="L26" i="19"/>
  <c r="W143" i="19"/>
  <c r="W144" i="19" s="1"/>
  <c r="N143" i="19"/>
  <c r="M143" i="19"/>
  <c r="Q113" i="19"/>
  <c r="Q114" i="19" s="1"/>
  <c r="K113" i="19"/>
  <c r="Z113" i="19"/>
  <c r="Z114" i="19" s="1"/>
  <c r="N84" i="19"/>
  <c r="T55" i="19"/>
  <c r="T56" i="19" s="1"/>
  <c r="K55" i="19"/>
  <c r="W26" i="19"/>
  <c r="W27" i="19" s="1"/>
  <c r="W84" i="19"/>
  <c r="W85" i="19" s="1"/>
  <c r="T143" i="19"/>
  <c r="T144" i="19" s="1"/>
  <c r="M26" i="19"/>
  <c r="M113" i="19"/>
  <c r="M55" i="19"/>
  <c r="Z26" i="19"/>
  <c r="Z27" i="19" s="1"/>
  <c r="M84" i="19"/>
  <c r="Q26" i="19"/>
  <c r="Q27" i="19" s="1"/>
  <c r="L143" i="19"/>
  <c r="K84" i="19"/>
  <c r="L55" i="19"/>
  <c r="L113" i="19"/>
  <c r="T113" i="19"/>
  <c r="T114" i="19" s="1"/>
  <c r="Z55" i="19"/>
  <c r="Z56" i="19" s="1"/>
  <c r="N113" i="19"/>
  <c r="N55" i="19"/>
  <c r="Q55" i="19"/>
  <c r="Q56" i="19" s="1"/>
  <c r="T84" i="19"/>
  <c r="T85" i="19" s="1"/>
  <c r="K143" i="19"/>
  <c r="M26" i="22"/>
  <c r="L56" i="22"/>
  <c r="N86" i="22"/>
  <c r="N26" i="22"/>
  <c r="W86" i="22"/>
  <c r="W87" i="22" s="1"/>
  <c r="Q86" i="22"/>
  <c r="Q87" i="22" s="1"/>
  <c r="Q115" i="22"/>
  <c r="Q116" i="22" s="1"/>
  <c r="L86" i="22"/>
  <c r="M56" i="22"/>
  <c r="K26" i="22"/>
  <c r="M86" i="22"/>
  <c r="K145" i="22"/>
  <c r="K115" i="22"/>
  <c r="L26" i="22"/>
  <c r="Q145" i="22"/>
  <c r="Q146" i="22" s="1"/>
  <c r="M145" i="22"/>
  <c r="W56" i="22"/>
  <c r="W57" i="22" s="1"/>
  <c r="K86" i="22"/>
  <c r="Q26" i="22"/>
  <c r="Q27" i="22" s="1"/>
  <c r="W26" i="22"/>
  <c r="W27" i="22" s="1"/>
  <c r="N56" i="22"/>
  <c r="L145" i="22"/>
  <c r="T115" i="22"/>
  <c r="T116" i="22" s="1"/>
  <c r="W115" i="22"/>
  <c r="W116" i="22" s="1"/>
  <c r="Q56" i="22"/>
  <c r="Q57" i="22" s="1"/>
  <c r="Z115" i="22"/>
  <c r="Z116" i="22" s="1"/>
  <c r="N145" i="22"/>
  <c r="T26" i="22"/>
  <c r="T27" i="22" s="1"/>
  <c r="N115" i="22"/>
  <c r="Z26" i="22"/>
  <c r="Z27" i="22" s="1"/>
  <c r="L115" i="22"/>
  <c r="K56" i="22"/>
  <c r="M115" i="22"/>
  <c r="Z56" i="22"/>
  <c r="Z57" i="22" s="1"/>
  <c r="T56" i="22"/>
  <c r="T57" i="22" s="1"/>
  <c r="W145" i="22"/>
  <c r="W146" i="22" s="1"/>
  <c r="T145" i="22"/>
  <c r="T146" i="22" s="1"/>
  <c r="Z145" i="22"/>
  <c r="Z146" i="22" s="1"/>
  <c r="T86" i="22"/>
  <c r="T87" i="22" s="1"/>
  <c r="Z86" i="22"/>
  <c r="Z87" i="22" s="1"/>
</calcChain>
</file>

<file path=xl/sharedStrings.xml><?xml version="1.0" encoding="utf-8"?>
<sst xmlns="http://schemas.openxmlformats.org/spreadsheetml/2006/main" count="1174" uniqueCount="143">
  <si>
    <t>Acústica - Medición in situ del aislamiento acústico en los edificios y en los elementos de construcción. Parte 1: Aislamiento a ruido aéreo</t>
  </si>
  <si>
    <t>Apartado 7.3.4 Altavoz único funcionando en más de una posición</t>
  </si>
  <si>
    <t xml:space="preserve">Se mide el nivel de presión acústica tanto en el recinto fuente como en el recinto receptor para la primera posición del altavoz. </t>
  </si>
  <si>
    <t xml:space="preserve">Se calcula el nivel de presión acústica promediado energéticamente tanto en el recinto fuente como en el recinto receptor de acuerdo con el apartado 7.8 </t>
  </si>
  <si>
    <t xml:space="preserve">Se realiza cualquier corrección para el ruido de fondo de acuerdo con el apartado 9.2. </t>
  </si>
  <si>
    <t xml:space="preserve">se calcula la diferencia de nivel normalizada haciendo uso de la fórmula (1) y de la fórmula (2) o del índice de reducción acústica aparente utilizando la fórmula (1) y la fórmula (4) </t>
  </si>
  <si>
    <t xml:space="preserve">Se repite este proceso para la(s) otra(s) posición(es) de altavoz. </t>
  </si>
  <si>
    <t xml:space="preserve">Se calcula la diferencia de nivel normalizada haciendo uso de la fórmula (6) o del índice de reducción acústica aparente haciendo uso de la fórmula (7) </t>
  </si>
  <si>
    <t>Datos externos</t>
  </si>
  <si>
    <t>9.2</t>
  </si>
  <si>
    <t>7.8.1</t>
  </si>
  <si>
    <t>3.12 (1) y 3.13 (2)</t>
  </si>
  <si>
    <t>En cada pestaña</t>
  </si>
  <si>
    <t>1º</t>
  </si>
  <si>
    <t>2º</t>
  </si>
  <si>
    <t>3º</t>
  </si>
  <si>
    <t>4º</t>
  </si>
  <si>
    <t>7.3.4 (6)</t>
  </si>
  <si>
    <t>Posición 1 Fuente</t>
  </si>
  <si>
    <t>Posición 2 Fuente</t>
  </si>
  <si>
    <t>FR [Hz]</t>
  </si>
  <si>
    <t>Micro 1 - F1</t>
  </si>
  <si>
    <t>Micro 2 - F1</t>
  </si>
  <si>
    <t>Micro 1 - F2</t>
  </si>
  <si>
    <t>Micro 2 - F2</t>
  </si>
  <si>
    <t>POSICIÓN 1</t>
  </si>
  <si>
    <t>n</t>
  </si>
  <si>
    <t>L1 (dB)</t>
  </si>
  <si>
    <t>POSICIÓN 2</t>
  </si>
  <si>
    <t>Micro 3 - F1</t>
  </si>
  <si>
    <t>Micro 4 - F1</t>
  </si>
  <si>
    <t>Micro 5 - F1</t>
  </si>
  <si>
    <t>Micro 3 - F2</t>
  </si>
  <si>
    <t>Micro 5 - F2</t>
  </si>
  <si>
    <t>Micro 4 - F2</t>
  </si>
  <si>
    <t>Posición Fuente en Habitación Superior</t>
  </si>
  <si>
    <t>Posición Fuente en Escaleras</t>
  </si>
  <si>
    <t>Posición Fuente en Cocina</t>
  </si>
  <si>
    <t>Posición Fuente en Salón</t>
  </si>
  <si>
    <t>Posición Fuente en Habitación Inferior</t>
  </si>
  <si>
    <t>Mic Recepción</t>
  </si>
  <si>
    <t>Mic Emisión</t>
  </si>
  <si>
    <t>Habitación Superior</t>
  </si>
  <si>
    <t>Escaleras</t>
  </si>
  <si>
    <t>Cocina</t>
  </si>
  <si>
    <t>Salón</t>
  </si>
  <si>
    <t>Habitación Inferior</t>
  </si>
  <si>
    <t>FR (Hz)</t>
  </si>
  <si>
    <t>Dif nivel (dB)</t>
  </si>
  <si>
    <t>L2 (dB)</t>
  </si>
  <si>
    <t>m</t>
  </si>
  <si>
    <t>RF Escaleras</t>
  </si>
  <si>
    <t>RF Cocina</t>
  </si>
  <si>
    <t>RF Salón</t>
  </si>
  <si>
    <t>RF Receptor</t>
  </si>
  <si>
    <t>Norma UNE ES ISO 16283-1:2015</t>
  </si>
  <si>
    <t>Lesq1 (dB)</t>
  </si>
  <si>
    <t>Lesq2 (dB)</t>
  </si>
  <si>
    <t>Lesq3 (dB)</t>
  </si>
  <si>
    <t>L2, LF (dB)</t>
  </si>
  <si>
    <t>L1,LF (dB)</t>
  </si>
  <si>
    <t>Habitación inferior</t>
  </si>
  <si>
    <t>Ambas posiciones</t>
  </si>
  <si>
    <t>RF (dB)</t>
  </si>
  <si>
    <t>Pos1-Lmic1 (dB)</t>
  </si>
  <si>
    <t>Pos1-Lmic2 (dB)</t>
  </si>
  <si>
    <t>Pos1-Lmic3 (dB)</t>
  </si>
  <si>
    <t>Pos1-Lmic4 (dB)</t>
  </si>
  <si>
    <t>Pos1-Lmic5 (dB)</t>
  </si>
  <si>
    <t>Pos2-Lmic1 (dB)</t>
  </si>
  <si>
    <t>Pos2-Lmic2 (dB)</t>
  </si>
  <si>
    <t>Pos2-Lmic3 (dB)</t>
  </si>
  <si>
    <t>Pos2-Lmic4 (dB)</t>
  </si>
  <si>
    <t>Pos2-Lmic5 (dB)</t>
  </si>
  <si>
    <t>Micro Esq.1</t>
  </si>
  <si>
    <t>Micro Esq.2</t>
  </si>
  <si>
    <t>Micro Esq.3</t>
  </si>
  <si>
    <t>Micro Esq.4</t>
  </si>
  <si>
    <t>Posición Fuente Aérea en BAJA FRECUENCIA</t>
  </si>
  <si>
    <t xml:space="preserve"> Cocina</t>
  </si>
  <si>
    <t>Lesq4 (dB)</t>
  </si>
  <si>
    <t>L2,LF (dB)</t>
  </si>
  <si>
    <t>6db</t>
  </si>
  <si>
    <t>7db</t>
  </si>
  <si>
    <t>18db</t>
  </si>
  <si>
    <t>17db</t>
  </si>
  <si>
    <t>19db</t>
  </si>
  <si>
    <t>12dB</t>
  </si>
  <si>
    <t>16db</t>
  </si>
  <si>
    <t>(+7dB)</t>
  </si>
  <si>
    <t>(+8dB)</t>
  </si>
  <si>
    <t>Dnt&gt;=45dBA</t>
  </si>
  <si>
    <t>DBhr.  Ra&gt;=33dBA</t>
  </si>
  <si>
    <t>DBhr.  Ra&gt;=33dbA</t>
  </si>
  <si>
    <t>Ref</t>
  </si>
  <si>
    <t>Desviaciones Desfavorables</t>
  </si>
  <si>
    <t>Valores de referencia</t>
  </si>
  <si>
    <t>Espectro Nº1 (50Hz-5000Hz)</t>
  </si>
  <si>
    <t>Espectro Nº2 (50Hz-5000Hz)</t>
  </si>
  <si>
    <t>Espectro Nº1 (100Hz-3150Hz)</t>
  </si>
  <si>
    <t>Espectro Nº2 (100Hz-3150Hz)</t>
  </si>
  <si>
    <t>5db</t>
  </si>
  <si>
    <t>15db</t>
  </si>
  <si>
    <t>13dB</t>
  </si>
  <si>
    <t>14db</t>
  </si>
  <si>
    <t>(+9dB)</t>
  </si>
  <si>
    <t>4db</t>
  </si>
  <si>
    <t>Posición 1 Fuente (dB)</t>
  </si>
  <si>
    <t>Posición 2 Fuente (dB)</t>
  </si>
  <si>
    <t>Ruido de Fondo (RF) (dB)</t>
  </si>
  <si>
    <t>RF Habitación Superior</t>
  </si>
  <si>
    <t>RF Habitación Inferior</t>
  </si>
  <si>
    <t>Tiempo de reverberación (s)</t>
  </si>
  <si>
    <t>Habitación superior</t>
  </si>
  <si>
    <t>EMISION</t>
  </si>
  <si>
    <t>28dB</t>
  </si>
  <si>
    <t>11dB</t>
  </si>
  <si>
    <t>10dB</t>
  </si>
  <si>
    <t>12db</t>
  </si>
  <si>
    <t>(+10dB)</t>
  </si>
  <si>
    <t>26dB</t>
  </si>
  <si>
    <t>27dB</t>
  </si>
  <si>
    <t>28db</t>
  </si>
  <si>
    <t>Dntw=52-27</t>
  </si>
  <si>
    <t>Área de absorción (m2)</t>
  </si>
  <si>
    <t>Frec (Hz)</t>
  </si>
  <si>
    <t>Espectro</t>
  </si>
  <si>
    <t>52-5</t>
  </si>
  <si>
    <t>52-15</t>
  </si>
  <si>
    <t>52-11</t>
  </si>
  <si>
    <t>52+9</t>
  </si>
  <si>
    <t>52-6</t>
  </si>
  <si>
    <t>52-13</t>
  </si>
  <si>
    <t>52+8</t>
  </si>
  <si>
    <t>52-17</t>
  </si>
  <si>
    <t>52-27</t>
  </si>
  <si>
    <t>Procedimiento por defecto</t>
  </si>
  <si>
    <t>Procedimiento de baja frecuencia</t>
  </si>
  <si>
    <t>Hab Inf</t>
  </si>
  <si>
    <t>Recinto</t>
  </si>
  <si>
    <t>Magnitud global</t>
  </si>
  <si>
    <t>29db</t>
  </si>
  <si>
    <t>52-28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</si>
</sst>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E+00"/>
  </numFmts>
  <fonts count="1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mbria Math"/>
      <family val="1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6D9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18" borderId="0" applyNumberFormat="0" applyBorder="0" applyAlignment="0" applyProtection="0"/>
  </cellStyleXfs>
  <cellXfs count="21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6" fillId="10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0" fillId="13" borderId="6" xfId="0" applyFill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2" borderId="12" xfId="1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9" fillId="0" borderId="0" xfId="0" applyNumberFormat="1" applyFont="1"/>
    <xf numFmtId="0" fontId="0" fillId="13" borderId="7" xfId="0" applyFill="1" applyBorder="1" applyAlignment="1">
      <alignment horizontal="center" vertical="center" wrapText="1"/>
    </xf>
    <xf numFmtId="0" fontId="2" fillId="13" borderId="7" xfId="2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2" fillId="3" borderId="7" xfId="2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10" fillId="2" borderId="8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2" fillId="3" borderId="8" xfId="2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NumberFormat="1"/>
    <xf numFmtId="2" fontId="0" fillId="9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9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11" borderId="5" xfId="0" applyNumberFormat="1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14" xfId="0" applyNumberFormat="1" applyBorder="1" applyAlignment="1">
      <alignment horizontal="center" vertical="center"/>
    </xf>
    <xf numFmtId="1" fontId="12" fillId="18" borderId="0" xfId="3" applyNumberFormat="1" applyBorder="1" applyAlignment="1">
      <alignment horizontal="center" vertical="center"/>
    </xf>
    <xf numFmtId="1" fontId="2" fillId="3" borderId="0" xfId="2" applyNumberFormat="1" applyBorder="1" applyAlignment="1">
      <alignment horizontal="center" vertical="center"/>
    </xf>
    <xf numFmtId="1" fontId="2" fillId="3" borderId="11" xfId="2" applyNumberFormat="1" applyBorder="1" applyAlignment="1">
      <alignment horizontal="center" vertical="center"/>
    </xf>
    <xf numFmtId="164" fontId="2" fillId="3" borderId="12" xfId="2" applyNumberFormat="1" applyBorder="1" applyAlignment="1">
      <alignment horizontal="center" vertical="center"/>
    </xf>
    <xf numFmtId="164" fontId="2" fillId="3" borderId="2" xfId="2" applyNumberForma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2" fontId="1" fillId="2" borderId="11" xfId="1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1" fillId="2" borderId="15" xfId="1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4" fontId="1" fillId="2" borderId="0" xfId="1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164" fontId="1" fillId="2" borderId="11" xfId="1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2" borderId="20" xfId="1" applyNumberFormat="1" applyBorder="1" applyAlignment="1">
      <alignment horizontal="center" vertical="center"/>
    </xf>
    <xf numFmtId="164" fontId="1" fillId="2" borderId="21" xfId="1" applyNumberFormat="1" applyBorder="1" applyAlignment="1">
      <alignment horizontal="center" vertical="center"/>
    </xf>
    <xf numFmtId="164" fontId="1" fillId="2" borderId="18" xfId="1" applyNumberFormat="1" applyBorder="1" applyAlignment="1">
      <alignment horizontal="center" vertical="center"/>
    </xf>
    <xf numFmtId="1" fontId="1" fillId="2" borderId="12" xfId="1" applyNumberFormat="1" applyBorder="1" applyAlignment="1">
      <alignment horizontal="center" vertical="center"/>
    </xf>
    <xf numFmtId="1" fontId="1" fillId="2" borderId="0" xfId="1" applyNumberForma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" fontId="12" fillId="18" borderId="12" xfId="3" applyNumberFormat="1" applyBorder="1" applyAlignment="1">
      <alignment horizontal="center" vertical="center"/>
    </xf>
    <xf numFmtId="0" fontId="0" fillId="0" borderId="3" xfId="0" applyFont="1" applyBorder="1"/>
    <xf numFmtId="0" fontId="0" fillId="0" borderId="22" xfId="0" applyFont="1" applyBorder="1"/>
    <xf numFmtId="0" fontId="15" fillId="5" borderId="2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9" borderId="24" xfId="0" applyFont="1" applyFill="1" applyBorder="1"/>
    <xf numFmtId="0" fontId="0" fillId="9" borderId="25" xfId="0" applyFont="1" applyFill="1" applyBorder="1"/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/>
    <xf numFmtId="0" fontId="0" fillId="0" borderId="25" xfId="0" applyFont="1" applyBorder="1"/>
    <xf numFmtId="0" fontId="0" fillId="0" borderId="3" xfId="0" applyFont="1" applyBorder="1" applyAlignment="1">
      <alignment horizontal="center" vertical="center"/>
    </xf>
    <xf numFmtId="0" fontId="16" fillId="0" borderId="0" xfId="0" applyFont="1"/>
    <xf numFmtId="0" fontId="3" fillId="5" borderId="23" xfId="0" applyFont="1" applyFill="1" applyBorder="1"/>
    <xf numFmtId="0" fontId="3" fillId="5" borderId="24" xfId="0" applyFont="1" applyFill="1" applyBorder="1"/>
    <xf numFmtId="0" fontId="14" fillId="5" borderId="24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2" fontId="7" fillId="11" borderId="28" xfId="0" applyNumberFormat="1" applyFont="1" applyFill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164" fontId="2" fillId="3" borderId="11" xfId="2" applyNumberFormat="1" applyBorder="1" applyAlignment="1">
      <alignment horizontal="center" vertical="center"/>
    </xf>
    <xf numFmtId="0" fontId="0" fillId="22" borderId="6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1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center" vertical="center"/>
    </xf>
    <xf numFmtId="0" fontId="0" fillId="9" borderId="27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9" borderId="23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  <alignment horizontal="center" textRotation="0" wrapText="1" indent="0" justifyLastLine="0" shrinkToFit="0" readingOrder="0"/>
      <border outline="0">
        <left style="thin">
          <color rgb="FF8EA9DB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6D9"/>
      <color rgb="FFFFA9A6"/>
      <color rgb="FFFF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4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Ruidos de fondo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90387597483328941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Datos!$D$138</c:f>
              <c:strCache>
                <c:ptCount val="1"/>
                <c:pt idx="0">
                  <c:v>RF Habitación Superior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Datos!$D$139:$D$159</c:f>
              <c:numCache>
                <c:formatCode>0.0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E-1E40-96E9-3271CDAA0321}"/>
            </c:ext>
          </c:extLst>
        </c:ser>
        <c:ser>
          <c:idx val="1"/>
          <c:order val="1"/>
          <c:tx>
            <c:strRef>
              <c:f>Datos!$E$138</c:f>
              <c:strCache>
                <c:ptCount val="1"/>
                <c:pt idx="0">
                  <c:v>RF Escaleras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Datos!$E$139:$E$159</c:f>
              <c:numCache>
                <c:formatCode>0.0</c:formatCode>
                <c:ptCount val="21"/>
                <c:pt idx="0">
                  <c:v>28.254371115550903</c:v>
                </c:pt>
                <c:pt idx="1">
                  <c:v>20.958510761675626</c:v>
                </c:pt>
                <c:pt idx="2">
                  <c:v>20.581794400146041</c:v>
                </c:pt>
                <c:pt idx="3">
                  <c:v>21.080927309782609</c:v>
                </c:pt>
                <c:pt idx="4">
                  <c:v>21.410328520668877</c:v>
                </c:pt>
                <c:pt idx="5">
                  <c:v>20.707785774544242</c:v>
                </c:pt>
                <c:pt idx="6">
                  <c:v>20.671427330533088</c:v>
                </c:pt>
                <c:pt idx="7">
                  <c:v>20.990640870614904</c:v>
                </c:pt>
                <c:pt idx="8">
                  <c:v>20.802814847605241</c:v>
                </c:pt>
                <c:pt idx="9">
                  <c:v>21.34892895832154</c:v>
                </c:pt>
                <c:pt idx="10">
                  <c:v>21.626016778070568</c:v>
                </c:pt>
                <c:pt idx="11">
                  <c:v>22.256093413357572</c:v>
                </c:pt>
                <c:pt idx="12">
                  <c:v>22.648568699325342</c:v>
                </c:pt>
                <c:pt idx="13">
                  <c:v>23.166978794595469</c:v>
                </c:pt>
                <c:pt idx="14">
                  <c:v>23.928737329400104</c:v>
                </c:pt>
                <c:pt idx="15">
                  <c:v>24.551068043363266</c:v>
                </c:pt>
                <c:pt idx="16">
                  <c:v>25.51529498491886</c:v>
                </c:pt>
                <c:pt idx="17">
                  <c:v>26.36517041662465</c:v>
                </c:pt>
                <c:pt idx="18">
                  <c:v>26.968118914083583</c:v>
                </c:pt>
                <c:pt idx="19">
                  <c:v>28.001040560035889</c:v>
                </c:pt>
                <c:pt idx="20">
                  <c:v>28.912661262180496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E-1E40-96E9-3271CDAA0321}"/>
            </c:ext>
          </c:extLst>
        </c:ser>
        <c:ser>
          <c:idx val="2"/>
          <c:order val="2"/>
          <c:tx>
            <c:strRef>
              <c:f>Datos!$F$138</c:f>
              <c:strCache>
                <c:ptCount val="1"/>
                <c:pt idx="0">
                  <c:v>RF Cocina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Datos!$F$139:$F$159</c:f>
              <c:numCache>
                <c:formatCode>0.0</c:formatCode>
                <c:ptCount val="21"/>
                <c:pt idx="0">
                  <c:v>30.472388961003034</c:v>
                </c:pt>
                <c:pt idx="1">
                  <c:v>22.267898348691833</c:v>
                </c:pt>
                <c:pt idx="2">
                  <c:v>20.676143210844369</c:v>
                </c:pt>
                <c:pt idx="3">
                  <c:v>21.030046320328751</c:v>
                </c:pt>
                <c:pt idx="4">
                  <c:v>20.736984988381497</c:v>
                </c:pt>
                <c:pt idx="5">
                  <c:v>22.40073432125012</c:v>
                </c:pt>
                <c:pt idx="6">
                  <c:v>21.568157594720653</c:v>
                </c:pt>
                <c:pt idx="7">
                  <c:v>21.298982481751899</c:v>
                </c:pt>
                <c:pt idx="8">
                  <c:v>21.225326991317296</c:v>
                </c:pt>
                <c:pt idx="9">
                  <c:v>21.294076292165961</c:v>
                </c:pt>
                <c:pt idx="10">
                  <c:v>21.8937600034036</c:v>
                </c:pt>
                <c:pt idx="11">
                  <c:v>22.332684398353166</c:v>
                </c:pt>
                <c:pt idx="12">
                  <c:v>22.657495194404696</c:v>
                </c:pt>
                <c:pt idx="13">
                  <c:v>23.237675766478016</c:v>
                </c:pt>
                <c:pt idx="14">
                  <c:v>23.947819154779246</c:v>
                </c:pt>
                <c:pt idx="15">
                  <c:v>24.566846696457059</c:v>
                </c:pt>
                <c:pt idx="16">
                  <c:v>25.430607861811573</c:v>
                </c:pt>
                <c:pt idx="17">
                  <c:v>26.375993667787188</c:v>
                </c:pt>
                <c:pt idx="18">
                  <c:v>26.94540861862065</c:v>
                </c:pt>
                <c:pt idx="19">
                  <c:v>28.007041962626744</c:v>
                </c:pt>
                <c:pt idx="20">
                  <c:v>28.928048955331935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DE-1E40-96E9-3271CDAA0321}"/>
            </c:ext>
          </c:extLst>
        </c:ser>
        <c:ser>
          <c:idx val="3"/>
          <c:order val="3"/>
          <c:tx>
            <c:strRef>
              <c:f>Datos!$G$138</c:f>
              <c:strCache>
                <c:ptCount val="1"/>
                <c:pt idx="0">
                  <c:v>RF Salón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Datos!$G$139:$G$159</c:f>
              <c:numCache>
                <c:formatCode>0.0</c:formatCode>
                <c:ptCount val="21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  <c:pt idx="3">
                  <c:v>20.926107463060561</c:v>
                </c:pt>
                <c:pt idx="4">
                  <c:v>19.237478460836353</c:v>
                </c:pt>
                <c:pt idx="5">
                  <c:v>23.041133113912824</c:v>
                </c:pt>
                <c:pt idx="6">
                  <c:v>21.681998933728615</c:v>
                </c:pt>
                <c:pt idx="7">
                  <c:v>25.777995447048276</c:v>
                </c:pt>
                <c:pt idx="8">
                  <c:v>24.654969957401072</c:v>
                </c:pt>
                <c:pt idx="9">
                  <c:v>24.688685799350573</c:v>
                </c:pt>
                <c:pt idx="10">
                  <c:v>25.72086424774659</c:v>
                </c:pt>
                <c:pt idx="11">
                  <c:v>25.552571351960321</c:v>
                </c:pt>
                <c:pt idx="12">
                  <c:v>25.194272409384993</c:v>
                </c:pt>
                <c:pt idx="13">
                  <c:v>25.48027170512885</c:v>
                </c:pt>
                <c:pt idx="14">
                  <c:v>25.857837510020754</c:v>
                </c:pt>
                <c:pt idx="15">
                  <c:v>25.148234624897949</c:v>
                </c:pt>
                <c:pt idx="16">
                  <c:v>25.965268263246511</c:v>
                </c:pt>
                <c:pt idx="17">
                  <c:v>26.432142459949347</c:v>
                </c:pt>
                <c:pt idx="18">
                  <c:v>27.119830727724199</c:v>
                </c:pt>
                <c:pt idx="19">
                  <c:v>28.055639217578968</c:v>
                </c:pt>
                <c:pt idx="20">
                  <c:v>29.046637214067978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DE-1E40-96E9-3271CDAA0321}"/>
            </c:ext>
          </c:extLst>
        </c:ser>
        <c:ser>
          <c:idx val="4"/>
          <c:order val="4"/>
          <c:tx>
            <c:strRef>
              <c:f>Datos!$H$138</c:f>
              <c:strCache>
                <c:ptCount val="1"/>
                <c:pt idx="0">
                  <c:v>RF Habitación Inferior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Datos!$H$139:$H$159</c:f>
              <c:numCache>
                <c:formatCode>0.0</c:formatCode>
                <c:ptCount val="21"/>
                <c:pt idx="0">
                  <c:v>28.431945418000002</c:v>
                </c:pt>
                <c:pt idx="1">
                  <c:v>22.058936862420001</c:v>
                </c:pt>
                <c:pt idx="2">
                  <c:v>19.9661818936953</c:v>
                </c:pt>
                <c:pt idx="3">
                  <c:v>20.111462289528141</c:v>
                </c:pt>
                <c:pt idx="4">
                  <c:v>19.830534385260499</c:v>
                </c:pt>
                <c:pt idx="5">
                  <c:v>22.548548216807799</c:v>
                </c:pt>
                <c:pt idx="6">
                  <c:v>20.544889454850001</c:v>
                </c:pt>
                <c:pt idx="7">
                  <c:v>21.121295919000001</c:v>
                </c:pt>
                <c:pt idx="8">
                  <c:v>21.4036585346499</c:v>
                </c:pt>
                <c:pt idx="9">
                  <c:v>21.201757605512039</c:v>
                </c:pt>
                <c:pt idx="10">
                  <c:v>21.712608980355704</c:v>
                </c:pt>
                <c:pt idx="11">
                  <c:v>22.420569111530046</c:v>
                </c:pt>
                <c:pt idx="12">
                  <c:v>23.830878852901598</c:v>
                </c:pt>
                <c:pt idx="13">
                  <c:v>23.145730824099999</c:v>
                </c:pt>
                <c:pt idx="14">
                  <c:v>24.82551266854</c:v>
                </c:pt>
                <c:pt idx="15">
                  <c:v>24.246064000000001</c:v>
                </c:pt>
                <c:pt idx="16">
                  <c:v>25.646910767806204</c:v>
                </c:pt>
                <c:pt idx="17">
                  <c:v>26.413129658328561</c:v>
                </c:pt>
                <c:pt idx="18">
                  <c:v>27.764226774819999</c:v>
                </c:pt>
                <c:pt idx="19">
                  <c:v>28.148194425386894</c:v>
                </c:pt>
                <c:pt idx="20">
                  <c:v>29.0160207939626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DE-1E40-96E9-3271CDAA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32"/>
          <c:min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RF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53774422974436"/>
          <c:y val="0.45771897243517312"/>
          <c:w val="0.15049074767009263"/>
          <c:h val="0.30443768698010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Salón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Frec'!$P$83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Frec'!$P$58:$P$78</c:f>
              <c:numCache>
                <c:formatCode>0.00</c:formatCode>
                <c:ptCount val="21"/>
                <c:pt idx="0">
                  <c:v>58.059202816688256</c:v>
                </c:pt>
                <c:pt idx="1">
                  <c:v>58.252139435395186</c:v>
                </c:pt>
                <c:pt idx="2">
                  <c:v>54.581760852933499</c:v>
                </c:pt>
                <c:pt idx="3">
                  <c:v>57.964835975421941</c:v>
                </c:pt>
                <c:pt idx="4">
                  <c:v>57.823178183340552</c:v>
                </c:pt>
                <c:pt idx="5">
                  <c:v>72.833887189144633</c:v>
                </c:pt>
                <c:pt idx="6">
                  <c:v>66.945986950091239</c:v>
                </c:pt>
                <c:pt idx="7">
                  <c:v>70.699203367804941</c:v>
                </c:pt>
                <c:pt idx="8">
                  <c:v>75.498272352282143</c:v>
                </c:pt>
                <c:pt idx="9">
                  <c:v>71.823199097028123</c:v>
                </c:pt>
                <c:pt idx="10">
                  <c:v>68.42692131093294</c:v>
                </c:pt>
                <c:pt idx="11">
                  <c:v>65.272337513351076</c:v>
                </c:pt>
                <c:pt idx="12">
                  <c:v>62.820728537925191</c:v>
                </c:pt>
                <c:pt idx="13">
                  <c:v>60.622494255668428</c:v>
                </c:pt>
                <c:pt idx="14">
                  <c:v>57.999453358600299</c:v>
                </c:pt>
                <c:pt idx="15">
                  <c:v>56.793611967484232</c:v>
                </c:pt>
                <c:pt idx="16">
                  <c:v>54.613408245663777</c:v>
                </c:pt>
                <c:pt idx="17">
                  <c:v>56.314311574687288</c:v>
                </c:pt>
                <c:pt idx="18">
                  <c:v>57.214231405793541</c:v>
                </c:pt>
                <c:pt idx="19">
                  <c:v>52.564226747579966</c:v>
                </c:pt>
                <c:pt idx="20">
                  <c:v>46.727679701786059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5747-AE57-82E827F68279}"/>
            </c:ext>
          </c:extLst>
        </c:ser>
        <c:ser>
          <c:idx val="1"/>
          <c:order val="1"/>
          <c:tx>
            <c:strRef>
              <c:f>'1º Alta Frec'!$Q$31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Frec'!$Q$58:$Q$78</c:f>
              <c:numCache>
                <c:formatCode>0.00</c:formatCode>
                <c:ptCount val="21"/>
                <c:pt idx="0">
                  <c:v>51.839983904532836</c:v>
                </c:pt>
                <c:pt idx="1">
                  <c:v>58.723824485523281</c:v>
                </c:pt>
                <c:pt idx="2">
                  <c:v>65.037968419271223</c:v>
                </c:pt>
                <c:pt idx="3">
                  <c:v>58.187994461424616</c:v>
                </c:pt>
                <c:pt idx="4">
                  <c:v>55.574418738698277</c:v>
                </c:pt>
                <c:pt idx="5">
                  <c:v>73.143189630097751</c:v>
                </c:pt>
                <c:pt idx="6">
                  <c:v>66.410217515133212</c:v>
                </c:pt>
                <c:pt idx="7">
                  <c:v>70.417693420118127</c:v>
                </c:pt>
                <c:pt idx="8">
                  <c:v>72.408174753873539</c:v>
                </c:pt>
                <c:pt idx="9">
                  <c:v>72.801519125614433</c:v>
                </c:pt>
                <c:pt idx="10">
                  <c:v>67.735312700043451</c:v>
                </c:pt>
                <c:pt idx="11">
                  <c:v>67.405553067586069</c:v>
                </c:pt>
                <c:pt idx="12">
                  <c:v>64.256330948241015</c:v>
                </c:pt>
                <c:pt idx="13">
                  <c:v>59.234130512584336</c:v>
                </c:pt>
                <c:pt idx="14">
                  <c:v>57.469275187077137</c:v>
                </c:pt>
                <c:pt idx="15">
                  <c:v>55.183840475128029</c:v>
                </c:pt>
                <c:pt idx="16">
                  <c:v>54.029445761356627</c:v>
                </c:pt>
                <c:pt idx="17">
                  <c:v>57.685248288241297</c:v>
                </c:pt>
                <c:pt idx="18">
                  <c:v>57.69061453422291</c:v>
                </c:pt>
                <c:pt idx="19">
                  <c:v>53.229062243739953</c:v>
                </c:pt>
                <c:pt idx="20">
                  <c:v>48.62261327716152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5-5747-AE57-82E827F68279}"/>
            </c:ext>
          </c:extLst>
        </c:ser>
        <c:ser>
          <c:idx val="2"/>
          <c:order val="2"/>
          <c:tx>
            <c:strRef>
              <c:f>'1º Alta Frec'!$R$31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Frec'!$R$58:$R$78</c:f>
              <c:numCache>
                <c:formatCode>0.00</c:formatCode>
                <c:ptCount val="21"/>
                <c:pt idx="0">
                  <c:v>62.53906313700319</c:v>
                </c:pt>
                <c:pt idx="1">
                  <c:v>61.753420666861217</c:v>
                </c:pt>
                <c:pt idx="2">
                  <c:v>65.12557509673077</c:v>
                </c:pt>
                <c:pt idx="3">
                  <c:v>58.694426095417043</c:v>
                </c:pt>
                <c:pt idx="4">
                  <c:v>58.312962669328627</c:v>
                </c:pt>
                <c:pt idx="5">
                  <c:v>68.536543503832675</c:v>
                </c:pt>
                <c:pt idx="6">
                  <c:v>63.166372394378719</c:v>
                </c:pt>
                <c:pt idx="7">
                  <c:v>68.720285272872843</c:v>
                </c:pt>
                <c:pt idx="8">
                  <c:v>73.577175499152773</c:v>
                </c:pt>
                <c:pt idx="9">
                  <c:v>68.499388996790557</c:v>
                </c:pt>
                <c:pt idx="10">
                  <c:v>67.795603856472965</c:v>
                </c:pt>
                <c:pt idx="11">
                  <c:v>68.389992975685274</c:v>
                </c:pt>
                <c:pt idx="12">
                  <c:v>64.247704159961785</c:v>
                </c:pt>
                <c:pt idx="13">
                  <c:v>60.51955846541216</c:v>
                </c:pt>
                <c:pt idx="14">
                  <c:v>58.78028227134309</c:v>
                </c:pt>
                <c:pt idx="15">
                  <c:v>55.265561438796617</c:v>
                </c:pt>
                <c:pt idx="16">
                  <c:v>54.142888250369253</c:v>
                </c:pt>
                <c:pt idx="17">
                  <c:v>56.148718656367855</c:v>
                </c:pt>
                <c:pt idx="18">
                  <c:v>56.710577776244413</c:v>
                </c:pt>
                <c:pt idx="19">
                  <c:v>52.447128823073491</c:v>
                </c:pt>
                <c:pt idx="20">
                  <c:v>47.97803707086193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5-5747-AE57-82E827F68279}"/>
            </c:ext>
          </c:extLst>
        </c:ser>
        <c:ser>
          <c:idx val="3"/>
          <c:order val="3"/>
          <c:tx>
            <c:strRef>
              <c:f>'1º Alta Frec'!$S$31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Frec'!$S$58:$S$78</c:f>
              <c:numCache>
                <c:formatCode>0.00</c:formatCode>
                <c:ptCount val="21"/>
                <c:pt idx="0">
                  <c:v>63.995732064412827</c:v>
                </c:pt>
                <c:pt idx="1">
                  <c:v>60.33866054210884</c:v>
                </c:pt>
                <c:pt idx="2">
                  <c:v>63.779289934165689</c:v>
                </c:pt>
                <c:pt idx="3">
                  <c:v>56.686009362857774</c:v>
                </c:pt>
                <c:pt idx="4">
                  <c:v>56.274867602757048</c:v>
                </c:pt>
                <c:pt idx="5">
                  <c:v>77.198029219874087</c:v>
                </c:pt>
                <c:pt idx="6">
                  <c:v>66.98956445009091</c:v>
                </c:pt>
                <c:pt idx="7">
                  <c:v>73.279791703095313</c:v>
                </c:pt>
                <c:pt idx="8">
                  <c:v>74.381606230864648</c:v>
                </c:pt>
                <c:pt idx="9">
                  <c:v>69.578481792022828</c:v>
                </c:pt>
                <c:pt idx="10">
                  <c:v>69.254591886601389</c:v>
                </c:pt>
                <c:pt idx="11">
                  <c:v>67.087870763535662</c:v>
                </c:pt>
                <c:pt idx="12">
                  <c:v>62.640708124315417</c:v>
                </c:pt>
                <c:pt idx="13">
                  <c:v>61.881884412875969</c:v>
                </c:pt>
                <c:pt idx="14">
                  <c:v>57.791434310117744</c:v>
                </c:pt>
                <c:pt idx="15">
                  <c:v>56.321056656855873</c:v>
                </c:pt>
                <c:pt idx="16">
                  <c:v>55.986724474255183</c:v>
                </c:pt>
                <c:pt idx="17">
                  <c:v>57.94213275099353</c:v>
                </c:pt>
                <c:pt idx="18">
                  <c:v>60.171847516505416</c:v>
                </c:pt>
                <c:pt idx="19">
                  <c:v>56.196495081927324</c:v>
                </c:pt>
                <c:pt idx="20">
                  <c:v>51.518404268389965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5-5747-AE57-82E827F68279}"/>
            </c:ext>
          </c:extLst>
        </c:ser>
        <c:ser>
          <c:idx val="4"/>
          <c:order val="4"/>
          <c:tx>
            <c:strRef>
              <c:f>'1º Alta Frec'!$T$31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Frec'!$T$58:$T$78</c:f>
              <c:numCache>
                <c:formatCode>0.00</c:formatCode>
                <c:ptCount val="21"/>
                <c:pt idx="0">
                  <c:v>57.222826824096089</c:v>
                </c:pt>
                <c:pt idx="1">
                  <c:v>56.304466582957097</c:v>
                </c:pt>
                <c:pt idx="2">
                  <c:v>58.062060897016295</c:v>
                </c:pt>
                <c:pt idx="3">
                  <c:v>59.551285523492936</c:v>
                </c:pt>
                <c:pt idx="4">
                  <c:v>56.552715835939857</c:v>
                </c:pt>
                <c:pt idx="5">
                  <c:v>75.556177472837888</c:v>
                </c:pt>
                <c:pt idx="6">
                  <c:v>70.444917024621645</c:v>
                </c:pt>
                <c:pt idx="7">
                  <c:v>73.66371058957013</c:v>
                </c:pt>
                <c:pt idx="8">
                  <c:v>76.229364220070948</c:v>
                </c:pt>
                <c:pt idx="9">
                  <c:v>71.660882162932609</c:v>
                </c:pt>
                <c:pt idx="10">
                  <c:v>69.470511837282046</c:v>
                </c:pt>
                <c:pt idx="11">
                  <c:v>66.874240967386584</c:v>
                </c:pt>
                <c:pt idx="12">
                  <c:v>64.223141553206148</c:v>
                </c:pt>
                <c:pt idx="13">
                  <c:v>61.072857861357612</c:v>
                </c:pt>
                <c:pt idx="14">
                  <c:v>58.530213390110774</c:v>
                </c:pt>
                <c:pt idx="15">
                  <c:v>55.632801741447999</c:v>
                </c:pt>
                <c:pt idx="16">
                  <c:v>54.567901725584761</c:v>
                </c:pt>
                <c:pt idx="17">
                  <c:v>57.53677148496471</c:v>
                </c:pt>
                <c:pt idx="18">
                  <c:v>57.7945751282328</c:v>
                </c:pt>
                <c:pt idx="19">
                  <c:v>53.129347542288222</c:v>
                </c:pt>
                <c:pt idx="20">
                  <c:v>48.72538256069312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5-5747-AE57-82E827F68279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Frec'!$C$84:$C$104</c:f>
              <c:numCache>
                <c:formatCode>0.00</c:formatCode>
                <c:ptCount val="21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  <c:pt idx="3">
                  <c:v>20.926107463060561</c:v>
                </c:pt>
                <c:pt idx="4">
                  <c:v>19.237478460836353</c:v>
                </c:pt>
                <c:pt idx="5">
                  <c:v>23.041133113912824</c:v>
                </c:pt>
                <c:pt idx="6">
                  <c:v>21.681998933728615</c:v>
                </c:pt>
                <c:pt idx="7">
                  <c:v>25.777995447048276</c:v>
                </c:pt>
                <c:pt idx="8">
                  <c:v>24.654969957401072</c:v>
                </c:pt>
                <c:pt idx="9">
                  <c:v>24.688685799350573</c:v>
                </c:pt>
                <c:pt idx="10">
                  <c:v>25.72086424774659</c:v>
                </c:pt>
                <c:pt idx="11">
                  <c:v>25.552571351960321</c:v>
                </c:pt>
                <c:pt idx="12">
                  <c:v>25.194272409384993</c:v>
                </c:pt>
                <c:pt idx="13">
                  <c:v>25.48027170512885</c:v>
                </c:pt>
                <c:pt idx="14">
                  <c:v>25.857837510020754</c:v>
                </c:pt>
                <c:pt idx="15">
                  <c:v>25.148234624897949</c:v>
                </c:pt>
                <c:pt idx="16">
                  <c:v>25.965268263246511</c:v>
                </c:pt>
                <c:pt idx="17">
                  <c:v>26.432142459949347</c:v>
                </c:pt>
                <c:pt idx="18">
                  <c:v>27.119830727724199</c:v>
                </c:pt>
                <c:pt idx="19">
                  <c:v>28.055639217578968</c:v>
                </c:pt>
                <c:pt idx="20">
                  <c:v>29.046637214067978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5-5747-AE57-82E827F6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32767444326644"/>
          <c:y val="0.12855577365539106"/>
          <c:w val="0.10036433974139972"/>
          <c:h val="0.25137772479763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Frec'!$G$110:$G$130</c:f>
              <c:numCache>
                <c:formatCode>0.00</c:formatCode>
                <c:ptCount val="21"/>
                <c:pt idx="0">
                  <c:v>47.686776595329171</c:v>
                </c:pt>
                <c:pt idx="1">
                  <c:v>34.516979952356706</c:v>
                </c:pt>
                <c:pt idx="2">
                  <c:v>43.547765518302349</c:v>
                </c:pt>
                <c:pt idx="3">
                  <c:v>40.440552352079706</c:v>
                </c:pt>
                <c:pt idx="4">
                  <c:v>43.669164497460891</c:v>
                </c:pt>
                <c:pt idx="5">
                  <c:v>49.856582698537345</c:v>
                </c:pt>
                <c:pt idx="6">
                  <c:v>49.197140049578536</c:v>
                </c:pt>
                <c:pt idx="7">
                  <c:v>46.38404324517321</c:v>
                </c:pt>
                <c:pt idx="8">
                  <c:v>46.119253717251681</c:v>
                </c:pt>
                <c:pt idx="9">
                  <c:v>45.746595083777585</c:v>
                </c:pt>
                <c:pt idx="10">
                  <c:v>43.664276432635177</c:v>
                </c:pt>
                <c:pt idx="11">
                  <c:v>40.138714694265111</c:v>
                </c:pt>
                <c:pt idx="12">
                  <c:v>34.882077393247123</c:v>
                </c:pt>
                <c:pt idx="13">
                  <c:v>33.86019726653597</c:v>
                </c:pt>
                <c:pt idx="14">
                  <c:v>31.629199193484748</c:v>
                </c:pt>
                <c:pt idx="15">
                  <c:v>30.608583594436077</c:v>
                </c:pt>
                <c:pt idx="16">
                  <c:v>29.936311913960015</c:v>
                </c:pt>
                <c:pt idx="17">
                  <c:v>32.231519695538196</c:v>
                </c:pt>
                <c:pt idx="18">
                  <c:v>34.293880209993958</c:v>
                </c:pt>
                <c:pt idx="19">
                  <c:v>30.857711596275443</c:v>
                </c:pt>
                <c:pt idx="20">
                  <c:v>29.665527843717317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2-B245-A25D-539A1CD3444D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Frec'!$H$110:$H$130</c:f>
              <c:numCache>
                <c:formatCode>0.00</c:formatCode>
                <c:ptCount val="21"/>
                <c:pt idx="0">
                  <c:v>37.667957436108424</c:v>
                </c:pt>
                <c:pt idx="1">
                  <c:v>35.085649138646765</c:v>
                </c:pt>
                <c:pt idx="2">
                  <c:v>46.384922876425669</c:v>
                </c:pt>
                <c:pt idx="3">
                  <c:v>40.093932216049083</c:v>
                </c:pt>
                <c:pt idx="4">
                  <c:v>45.064681736290034</c:v>
                </c:pt>
                <c:pt idx="5">
                  <c:v>44.836880876662882</c:v>
                </c:pt>
                <c:pt idx="6">
                  <c:v>48.554852380820201</c:v>
                </c:pt>
                <c:pt idx="7">
                  <c:v>48.352154200804151</c:v>
                </c:pt>
                <c:pt idx="8">
                  <c:v>47.32103318018271</c:v>
                </c:pt>
                <c:pt idx="9">
                  <c:v>47.248245783731448</c:v>
                </c:pt>
                <c:pt idx="10">
                  <c:v>45.477282030362609</c:v>
                </c:pt>
                <c:pt idx="11">
                  <c:v>40.234641031170568</c:v>
                </c:pt>
                <c:pt idx="12">
                  <c:v>34.694387385185728</c:v>
                </c:pt>
                <c:pt idx="13">
                  <c:v>33.280853203847897</c:v>
                </c:pt>
                <c:pt idx="14">
                  <c:v>31.00363559080354</c:v>
                </c:pt>
                <c:pt idx="15">
                  <c:v>30.305509881770359</c:v>
                </c:pt>
                <c:pt idx="16">
                  <c:v>29.223899611344574</c:v>
                </c:pt>
                <c:pt idx="17">
                  <c:v>31.050124971579152</c:v>
                </c:pt>
                <c:pt idx="18">
                  <c:v>33.302722677271419</c:v>
                </c:pt>
                <c:pt idx="19">
                  <c:v>29.862953042307645</c:v>
                </c:pt>
                <c:pt idx="20">
                  <c:v>29.359994734432682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2-B245-A25D-539A1CD3444D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Frec'!$I$110:$I$130</c:f>
              <c:numCache>
                <c:formatCode>0.00</c:formatCode>
                <c:ptCount val="21"/>
                <c:pt idx="0">
                  <c:v>53.592499591481939</c:v>
                </c:pt>
                <c:pt idx="1">
                  <c:v>37.209428820306854</c:v>
                </c:pt>
                <c:pt idx="2">
                  <c:v>53.144419870394962</c:v>
                </c:pt>
                <c:pt idx="3">
                  <c:v>47.866349387490452</c:v>
                </c:pt>
                <c:pt idx="4">
                  <c:v>48.94335843418834</c:v>
                </c:pt>
                <c:pt idx="5">
                  <c:v>52.650815357362603</c:v>
                </c:pt>
                <c:pt idx="6">
                  <c:v>46.149956238292773</c:v>
                </c:pt>
                <c:pt idx="7">
                  <c:v>46.765037095615632</c:v>
                </c:pt>
                <c:pt idx="8">
                  <c:v>47.796637981613245</c:v>
                </c:pt>
                <c:pt idx="9">
                  <c:v>47.31865305891386</c:v>
                </c:pt>
                <c:pt idx="10">
                  <c:v>43.729847468852078</c:v>
                </c:pt>
                <c:pt idx="11">
                  <c:v>39.179974432855211</c:v>
                </c:pt>
                <c:pt idx="12">
                  <c:v>35.698718642453464</c:v>
                </c:pt>
                <c:pt idx="13">
                  <c:v>32.614597193767572</c:v>
                </c:pt>
                <c:pt idx="14">
                  <c:v>31.550903448939092</c:v>
                </c:pt>
                <c:pt idx="15">
                  <c:v>31.002540823581821</c:v>
                </c:pt>
                <c:pt idx="16">
                  <c:v>31.111046713900706</c:v>
                </c:pt>
                <c:pt idx="17">
                  <c:v>34.790471178029087</c:v>
                </c:pt>
                <c:pt idx="18">
                  <c:v>37.103116265151769</c:v>
                </c:pt>
                <c:pt idx="19">
                  <c:v>33.315223609321606</c:v>
                </c:pt>
                <c:pt idx="20">
                  <c:v>30.563504450583043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2-B245-A25D-539A1CD3444D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Frec'!$J$110:$J$130</c:f>
              <c:numCache>
                <c:formatCode>0.00</c:formatCode>
                <c:ptCount val="21"/>
                <c:pt idx="0">
                  <c:v>54.589536551969594</c:v>
                </c:pt>
                <c:pt idx="1">
                  <c:v>38.740785904567034</c:v>
                </c:pt>
                <c:pt idx="2">
                  <c:v>45.013008393437026</c:v>
                </c:pt>
                <c:pt idx="3">
                  <c:v>39.937776132465181</c:v>
                </c:pt>
                <c:pt idx="4">
                  <c:v>44.020417847160502</c:v>
                </c:pt>
                <c:pt idx="5">
                  <c:v>46.836867755822723</c:v>
                </c:pt>
                <c:pt idx="6">
                  <c:v>47.231949906088445</c:v>
                </c:pt>
                <c:pt idx="7">
                  <c:v>49.785343792396525</c:v>
                </c:pt>
                <c:pt idx="8">
                  <c:v>48.833889067670171</c:v>
                </c:pt>
                <c:pt idx="9">
                  <c:v>49.996833263888639</c:v>
                </c:pt>
                <c:pt idx="10">
                  <c:v>44.045591352602415</c:v>
                </c:pt>
                <c:pt idx="11">
                  <c:v>39.059790027042141</c:v>
                </c:pt>
                <c:pt idx="12">
                  <c:v>35.781894111102993</c:v>
                </c:pt>
                <c:pt idx="13">
                  <c:v>32.474585788574785</c:v>
                </c:pt>
                <c:pt idx="14">
                  <c:v>31.388432607924749</c:v>
                </c:pt>
                <c:pt idx="15">
                  <c:v>31.202999641764926</c:v>
                </c:pt>
                <c:pt idx="16">
                  <c:v>29.481998565574838</c:v>
                </c:pt>
                <c:pt idx="17">
                  <c:v>32.175951785351856</c:v>
                </c:pt>
                <c:pt idx="18">
                  <c:v>34.344327733956412</c:v>
                </c:pt>
                <c:pt idx="19">
                  <c:v>30.979768031830034</c:v>
                </c:pt>
                <c:pt idx="20">
                  <c:v>29.670801123830319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92-B245-A25D-539A1CD3444D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Frec'!$K$110:$K$130</c:f>
              <c:numCache>
                <c:formatCode>0.00</c:formatCode>
                <c:ptCount val="21"/>
                <c:pt idx="0">
                  <c:v>45.810425315746997</c:v>
                </c:pt>
                <c:pt idx="1">
                  <c:v>36.1071615191738</c:v>
                </c:pt>
                <c:pt idx="2">
                  <c:v>45.473574788946898</c:v>
                </c:pt>
                <c:pt idx="3">
                  <c:v>40.2882660350161</c:v>
                </c:pt>
                <c:pt idx="4">
                  <c:v>44.913541959917701</c:v>
                </c:pt>
                <c:pt idx="5">
                  <c:v>50.1847932879434</c:v>
                </c:pt>
                <c:pt idx="6">
                  <c:v>49.852374523108097</c:v>
                </c:pt>
                <c:pt idx="7">
                  <c:v>47.600968064299998</c:v>
                </c:pt>
                <c:pt idx="8">
                  <c:v>47.9324555684505</c:v>
                </c:pt>
                <c:pt idx="9">
                  <c:v>48.359957429438701</c:v>
                </c:pt>
                <c:pt idx="10">
                  <c:v>44.619534141138999</c:v>
                </c:pt>
                <c:pt idx="11">
                  <c:v>40.113702421781497</c:v>
                </c:pt>
                <c:pt idx="12">
                  <c:v>34.866004520398</c:v>
                </c:pt>
                <c:pt idx="13">
                  <c:v>34.715227848034701</c:v>
                </c:pt>
                <c:pt idx="14">
                  <c:v>31.344964570399998</c:v>
                </c:pt>
                <c:pt idx="15">
                  <c:v>30.475523767060601</c:v>
                </c:pt>
                <c:pt idx="16">
                  <c:v>29.411988983880001</c:v>
                </c:pt>
                <c:pt idx="17">
                  <c:v>32.231999999999999</c:v>
                </c:pt>
                <c:pt idx="18">
                  <c:v>33.291150033759997</c:v>
                </c:pt>
                <c:pt idx="19">
                  <c:v>30.496679015821002</c:v>
                </c:pt>
                <c:pt idx="20">
                  <c:v>30.297795199999999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92-B245-A25D-539A1CD3444D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Frec'!$E$110:$E$130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Frec'!$C$110:$C$130</c:f>
              <c:numCache>
                <c:formatCode>0.00</c:formatCode>
                <c:ptCount val="21"/>
                <c:pt idx="0">
                  <c:v>28.431945418000002</c:v>
                </c:pt>
                <c:pt idx="1">
                  <c:v>22.058936862420001</c:v>
                </c:pt>
                <c:pt idx="2">
                  <c:v>19.9661818936953</c:v>
                </c:pt>
                <c:pt idx="3">
                  <c:v>20.111462289528141</c:v>
                </c:pt>
                <c:pt idx="4">
                  <c:v>19.830534385260499</c:v>
                </c:pt>
                <c:pt idx="5">
                  <c:v>22.548548216807799</c:v>
                </c:pt>
                <c:pt idx="6">
                  <c:v>20.544889454850001</c:v>
                </c:pt>
                <c:pt idx="7">
                  <c:v>21.121295919000001</c:v>
                </c:pt>
                <c:pt idx="8">
                  <c:v>21.4036585346499</c:v>
                </c:pt>
                <c:pt idx="9">
                  <c:v>21.201757605512039</c:v>
                </c:pt>
                <c:pt idx="10">
                  <c:v>21.712608980355704</c:v>
                </c:pt>
                <c:pt idx="11">
                  <c:v>22.420569111530046</c:v>
                </c:pt>
                <c:pt idx="12">
                  <c:v>23.830878852901598</c:v>
                </c:pt>
                <c:pt idx="13">
                  <c:v>23.145730824099999</c:v>
                </c:pt>
                <c:pt idx="14">
                  <c:v>24.82551266854</c:v>
                </c:pt>
                <c:pt idx="15">
                  <c:v>24.246064000000001</c:v>
                </c:pt>
                <c:pt idx="16">
                  <c:v>25.646910767806204</c:v>
                </c:pt>
                <c:pt idx="17">
                  <c:v>26.413129658328561</c:v>
                </c:pt>
                <c:pt idx="18">
                  <c:v>27.764226774819999</c:v>
                </c:pt>
                <c:pt idx="19">
                  <c:v>28.148194425386894</c:v>
                </c:pt>
                <c:pt idx="20">
                  <c:v>29.0160207939626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92-B245-A25D-539A1CD3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30077004746987"/>
          <c:y val="0.21232520821740655"/>
          <c:w val="0.10034814072413199"/>
          <c:h val="0.25196241708397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inferior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Frec'!$P$109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Frec'!$P$110:$P$130</c:f>
              <c:numCache>
                <c:formatCode>0.00</c:formatCode>
                <c:ptCount val="21"/>
                <c:pt idx="0">
                  <c:v>43.6961125745893</c:v>
                </c:pt>
                <c:pt idx="1">
                  <c:v>41.015482722000002</c:v>
                </c:pt>
                <c:pt idx="2">
                  <c:v>45.770224261999999</c:v>
                </c:pt>
                <c:pt idx="3">
                  <c:v>49.333216504879999</c:v>
                </c:pt>
                <c:pt idx="4">
                  <c:v>46.418503710000003</c:v>
                </c:pt>
                <c:pt idx="5">
                  <c:v>47.23137173648</c:v>
                </c:pt>
                <c:pt idx="6">
                  <c:v>48.474540747399999</c:v>
                </c:pt>
                <c:pt idx="7">
                  <c:v>48.424177836360002</c:v>
                </c:pt>
                <c:pt idx="8">
                  <c:v>49.025640000000003</c:v>
                </c:pt>
                <c:pt idx="9">
                  <c:v>45.379249447200003</c:v>
                </c:pt>
                <c:pt idx="10">
                  <c:v>41.073362101199997</c:v>
                </c:pt>
                <c:pt idx="11">
                  <c:v>37.768346707100001</c:v>
                </c:pt>
                <c:pt idx="12">
                  <c:v>34.826915999999997</c:v>
                </c:pt>
                <c:pt idx="13">
                  <c:v>32.103658079799999</c:v>
                </c:pt>
                <c:pt idx="14">
                  <c:v>29.342353223</c:v>
                </c:pt>
                <c:pt idx="15">
                  <c:v>30.593311778804001</c:v>
                </c:pt>
                <c:pt idx="16">
                  <c:v>27.92109660973</c:v>
                </c:pt>
                <c:pt idx="17">
                  <c:v>30.2260898764</c:v>
                </c:pt>
                <c:pt idx="18">
                  <c:v>31.66411879356</c:v>
                </c:pt>
                <c:pt idx="19">
                  <c:v>30.010079944200001</c:v>
                </c:pt>
                <c:pt idx="20">
                  <c:v>29.449954081830001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D-8E4C-B788-99DAEC0835C3}"/>
            </c:ext>
          </c:extLst>
        </c:ser>
        <c:ser>
          <c:idx val="1"/>
          <c:order val="1"/>
          <c:tx>
            <c:strRef>
              <c:f>'1º Alta Frec'!$Q$109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Frec'!$Q$110:$Q$130</c:f>
              <c:numCache>
                <c:formatCode>0.00</c:formatCode>
                <c:ptCount val="21"/>
                <c:pt idx="0">
                  <c:v>42.696112574589336</c:v>
                </c:pt>
                <c:pt idx="1">
                  <c:v>42.555501548272197</c:v>
                </c:pt>
                <c:pt idx="2">
                  <c:v>46.440677022426193</c:v>
                </c:pt>
                <c:pt idx="3">
                  <c:v>50.34933216504875</c:v>
                </c:pt>
                <c:pt idx="4">
                  <c:v>44.283214185037089</c:v>
                </c:pt>
                <c:pt idx="5">
                  <c:v>44.992313717364802</c:v>
                </c:pt>
                <c:pt idx="6">
                  <c:v>47.178474540747381</c:v>
                </c:pt>
                <c:pt idx="7">
                  <c:v>47.344241778363561</c:v>
                </c:pt>
                <c:pt idx="8">
                  <c:v>47.296763402564018</c:v>
                </c:pt>
                <c:pt idx="9">
                  <c:v>46.453792494471976</c:v>
                </c:pt>
                <c:pt idx="10">
                  <c:v>41.339073362101196</c:v>
                </c:pt>
                <c:pt idx="11">
                  <c:v>38.122768346707105</c:v>
                </c:pt>
                <c:pt idx="12">
                  <c:v>34.172304282691563</c:v>
                </c:pt>
                <c:pt idx="13">
                  <c:v>34.093103658079755</c:v>
                </c:pt>
                <c:pt idx="14">
                  <c:v>30.527234235322258</c:v>
                </c:pt>
                <c:pt idx="15">
                  <c:v>29.759331177880433</c:v>
                </c:pt>
                <c:pt idx="16">
                  <c:v>28.869210966097306</c:v>
                </c:pt>
                <c:pt idx="17">
                  <c:v>31.399226089876365</c:v>
                </c:pt>
                <c:pt idx="18">
                  <c:v>32.336641187935577</c:v>
                </c:pt>
                <c:pt idx="19">
                  <c:v>29.327010079944237</c:v>
                </c:pt>
                <c:pt idx="20">
                  <c:v>29.23449954081828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D-8E4C-B788-99DAEC0835C3}"/>
            </c:ext>
          </c:extLst>
        </c:ser>
        <c:ser>
          <c:idx val="2"/>
          <c:order val="2"/>
          <c:tx>
            <c:strRef>
              <c:f>'1º Alta Frec'!$R$109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Frec'!$R$110:$R$130</c:f>
              <c:numCache>
                <c:formatCode>0.00</c:formatCode>
                <c:ptCount val="21"/>
                <c:pt idx="0">
                  <c:v>53.323372266126341</c:v>
                </c:pt>
                <c:pt idx="1">
                  <c:v>43.929565247514759</c:v>
                </c:pt>
                <c:pt idx="2">
                  <c:v>52.659493986492286</c:v>
                </c:pt>
                <c:pt idx="3">
                  <c:v>55.175745926704877</c:v>
                </c:pt>
                <c:pt idx="4">
                  <c:v>48.658535251417042</c:v>
                </c:pt>
                <c:pt idx="5">
                  <c:v>52.925270732744828</c:v>
                </c:pt>
                <c:pt idx="6">
                  <c:v>52.671948284451574</c:v>
                </c:pt>
                <c:pt idx="7">
                  <c:v>45.855430118447842</c:v>
                </c:pt>
                <c:pt idx="8">
                  <c:v>49.854637980347263</c:v>
                </c:pt>
                <c:pt idx="9">
                  <c:v>44.029323435786118</c:v>
                </c:pt>
                <c:pt idx="10">
                  <c:v>42.294245307288399</c:v>
                </c:pt>
                <c:pt idx="11">
                  <c:v>42.540409966207392</c:v>
                </c:pt>
                <c:pt idx="12">
                  <c:v>34.057442882796529</c:v>
                </c:pt>
                <c:pt idx="13">
                  <c:v>32.835450313608192</c:v>
                </c:pt>
                <c:pt idx="14">
                  <c:v>31.173124628513339</c:v>
                </c:pt>
                <c:pt idx="15">
                  <c:v>31.212210856513284</c:v>
                </c:pt>
                <c:pt idx="16">
                  <c:v>30.105267587568836</c:v>
                </c:pt>
                <c:pt idx="17">
                  <c:v>32.501741596939688</c:v>
                </c:pt>
                <c:pt idx="18">
                  <c:v>33.919443529451478</c:v>
                </c:pt>
                <c:pt idx="19">
                  <c:v>30.376373178068523</c:v>
                </c:pt>
                <c:pt idx="20">
                  <c:v>29.510421479670573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D-8E4C-B788-99DAEC0835C3}"/>
            </c:ext>
          </c:extLst>
        </c:ser>
        <c:ser>
          <c:idx val="3"/>
          <c:order val="3"/>
          <c:tx>
            <c:strRef>
              <c:f>'1º Alta Frec'!$S$109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Frec'!$S$110:$S$130</c:f>
              <c:numCache>
                <c:formatCode>0.00</c:formatCode>
                <c:ptCount val="21"/>
                <c:pt idx="0">
                  <c:v>53.569751009894809</c:v>
                </c:pt>
                <c:pt idx="1">
                  <c:v>47.780341757616952</c:v>
                </c:pt>
                <c:pt idx="2">
                  <c:v>44.07729071459724</c:v>
                </c:pt>
                <c:pt idx="3">
                  <c:v>43.953334015781437</c:v>
                </c:pt>
                <c:pt idx="4">
                  <c:v>48.279019490954944</c:v>
                </c:pt>
                <c:pt idx="5">
                  <c:v>48.999664173311402</c:v>
                </c:pt>
                <c:pt idx="6">
                  <c:v>51.244709385251539</c:v>
                </c:pt>
                <c:pt idx="7">
                  <c:v>52.076042760460119</c:v>
                </c:pt>
                <c:pt idx="8">
                  <c:v>50.684732263065079</c:v>
                </c:pt>
                <c:pt idx="9">
                  <c:v>46.715450053539094</c:v>
                </c:pt>
                <c:pt idx="10">
                  <c:v>43.261465628170271</c:v>
                </c:pt>
                <c:pt idx="11">
                  <c:v>40.471438828255366</c:v>
                </c:pt>
                <c:pt idx="12">
                  <c:v>33.776126894904571</c:v>
                </c:pt>
                <c:pt idx="13">
                  <c:v>32.477744883935429</c:v>
                </c:pt>
                <c:pt idx="14">
                  <c:v>30.843717634330677</c:v>
                </c:pt>
                <c:pt idx="15">
                  <c:v>29.737811962609154</c:v>
                </c:pt>
                <c:pt idx="16">
                  <c:v>29.403203188331382</c:v>
                </c:pt>
                <c:pt idx="17">
                  <c:v>30.684311031600803</c:v>
                </c:pt>
                <c:pt idx="18">
                  <c:v>31.777349029466944</c:v>
                </c:pt>
                <c:pt idx="19">
                  <c:v>29.122741973284377</c:v>
                </c:pt>
                <c:pt idx="20">
                  <c:v>29.300081356752266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D-8E4C-B788-99DAEC0835C3}"/>
            </c:ext>
          </c:extLst>
        </c:ser>
        <c:ser>
          <c:idx val="4"/>
          <c:order val="4"/>
          <c:tx>
            <c:strRef>
              <c:f>'1º Alta Frec'!$T$109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Frec'!$T$110:$T$130</c:f>
              <c:numCache>
                <c:formatCode>0.00</c:formatCode>
                <c:ptCount val="21"/>
                <c:pt idx="0">
                  <c:v>43.85327848493165</c:v>
                </c:pt>
                <c:pt idx="1">
                  <c:v>40.876989919592397</c:v>
                </c:pt>
                <c:pt idx="2">
                  <c:v>47.779530363262822</c:v>
                </c:pt>
                <c:pt idx="3">
                  <c:v>48.494942344051843</c:v>
                </c:pt>
                <c:pt idx="4">
                  <c:v>46.58019232726263</c:v>
                </c:pt>
                <c:pt idx="5">
                  <c:v>49.935749118354138</c:v>
                </c:pt>
                <c:pt idx="6">
                  <c:v>49.59768388098496</c:v>
                </c:pt>
                <c:pt idx="7">
                  <c:v>49.631548494189353</c:v>
                </c:pt>
                <c:pt idx="8">
                  <c:v>48.10710220564205</c:v>
                </c:pt>
                <c:pt idx="9">
                  <c:v>44.069432539878321</c:v>
                </c:pt>
                <c:pt idx="10">
                  <c:v>40.917712403859021</c:v>
                </c:pt>
                <c:pt idx="11">
                  <c:v>37.48166231081526</c:v>
                </c:pt>
                <c:pt idx="12">
                  <c:v>35.075102274799065</c:v>
                </c:pt>
                <c:pt idx="13">
                  <c:v>31.746637181468611</c:v>
                </c:pt>
                <c:pt idx="14">
                  <c:v>30.072315121359953</c:v>
                </c:pt>
                <c:pt idx="15">
                  <c:v>29.831323773290336</c:v>
                </c:pt>
                <c:pt idx="16">
                  <c:v>29.074443906160901</c:v>
                </c:pt>
                <c:pt idx="17">
                  <c:v>30.350345223283814</c:v>
                </c:pt>
                <c:pt idx="18">
                  <c:v>31.372012934831545</c:v>
                </c:pt>
                <c:pt idx="19">
                  <c:v>29.101989787763731</c:v>
                </c:pt>
                <c:pt idx="20">
                  <c:v>29.243134520378227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D-8E4C-B788-99DAEC0835C3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Frec'!$C$110:$C$130</c:f>
              <c:numCache>
                <c:formatCode>0.00</c:formatCode>
                <c:ptCount val="21"/>
                <c:pt idx="0">
                  <c:v>28.431945418000002</c:v>
                </c:pt>
                <c:pt idx="1">
                  <c:v>22.058936862420001</c:v>
                </c:pt>
                <c:pt idx="2">
                  <c:v>19.9661818936953</c:v>
                </c:pt>
                <c:pt idx="3">
                  <c:v>20.111462289528141</c:v>
                </c:pt>
                <c:pt idx="4">
                  <c:v>19.830534385260499</c:v>
                </c:pt>
                <c:pt idx="5">
                  <c:v>22.548548216807799</c:v>
                </c:pt>
                <c:pt idx="6">
                  <c:v>20.544889454850001</c:v>
                </c:pt>
                <c:pt idx="7">
                  <c:v>21.121295919000001</c:v>
                </c:pt>
                <c:pt idx="8">
                  <c:v>21.4036585346499</c:v>
                </c:pt>
                <c:pt idx="9">
                  <c:v>21.201757605512039</c:v>
                </c:pt>
                <c:pt idx="10">
                  <c:v>21.712608980355704</c:v>
                </c:pt>
                <c:pt idx="11">
                  <c:v>22.420569111530046</c:v>
                </c:pt>
                <c:pt idx="12">
                  <c:v>23.830878852901598</c:v>
                </c:pt>
                <c:pt idx="13">
                  <c:v>23.145730824099999</c:v>
                </c:pt>
                <c:pt idx="14">
                  <c:v>24.82551266854</c:v>
                </c:pt>
                <c:pt idx="15">
                  <c:v>24.246064000000001</c:v>
                </c:pt>
                <c:pt idx="16">
                  <c:v>25.646910767806204</c:v>
                </c:pt>
                <c:pt idx="17">
                  <c:v>26.413129658328561</c:v>
                </c:pt>
                <c:pt idx="18">
                  <c:v>27.764226774819999</c:v>
                </c:pt>
                <c:pt idx="19">
                  <c:v>28.148194425386894</c:v>
                </c:pt>
                <c:pt idx="20">
                  <c:v>29.0160207939626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D-8E4C-B788-99DAEC08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28128579099918"/>
          <c:y val="0.22292675524671346"/>
          <c:w val="0.10036433974139972"/>
          <c:h val="0.25137762648547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Recepción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Frec'!$G$136:$G$156</c:f>
              <c:numCache>
                <c:formatCode>0.00</c:formatCode>
                <c:ptCount val="21"/>
                <c:pt idx="0">
                  <c:v>87.181794776770346</c:v>
                </c:pt>
                <c:pt idx="1">
                  <c:v>92.844971828533772</c:v>
                </c:pt>
                <c:pt idx="2">
                  <c:v>89.722451359832874</c:v>
                </c:pt>
                <c:pt idx="3">
                  <c:v>80.836505414882382</c:v>
                </c:pt>
                <c:pt idx="4">
                  <c:v>92.125066128727127</c:v>
                </c:pt>
                <c:pt idx="5">
                  <c:v>97.975730742531255</c:v>
                </c:pt>
                <c:pt idx="6">
                  <c:v>99.83855492310505</c:v>
                </c:pt>
                <c:pt idx="7">
                  <c:v>100.68045104600461</c:v>
                </c:pt>
                <c:pt idx="8">
                  <c:v>102.39969116152474</c:v>
                </c:pt>
                <c:pt idx="9">
                  <c:v>102.43656876078055</c:v>
                </c:pt>
                <c:pt idx="10">
                  <c:v>102.41400574724337</c:v>
                </c:pt>
                <c:pt idx="11">
                  <c:v>102.41162284763379</c:v>
                </c:pt>
                <c:pt idx="12">
                  <c:v>101.14085828116113</c:v>
                </c:pt>
                <c:pt idx="13">
                  <c:v>100.02055724279177</c:v>
                </c:pt>
                <c:pt idx="14">
                  <c:v>97.650089256608169</c:v>
                </c:pt>
                <c:pt idx="15">
                  <c:v>95.611304907963188</c:v>
                </c:pt>
                <c:pt idx="16">
                  <c:v>95.957457838387327</c:v>
                </c:pt>
                <c:pt idx="17">
                  <c:v>99.048854732878823</c:v>
                </c:pt>
                <c:pt idx="18">
                  <c:v>96.860880380389332</c:v>
                </c:pt>
                <c:pt idx="19">
                  <c:v>91.971994210020341</c:v>
                </c:pt>
                <c:pt idx="20">
                  <c:v>91.159158618970849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D-6B42-BB42-897314D953F6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Frec'!$H$136:$H$156</c:f>
              <c:numCache>
                <c:formatCode>0.00</c:formatCode>
                <c:ptCount val="21"/>
                <c:pt idx="0">
                  <c:v>83.123510114723274</c:v>
                </c:pt>
                <c:pt idx="1">
                  <c:v>86.114745145423385</c:v>
                </c:pt>
                <c:pt idx="2">
                  <c:v>90.158799101927571</c:v>
                </c:pt>
                <c:pt idx="3">
                  <c:v>86.53137559979875</c:v>
                </c:pt>
                <c:pt idx="4">
                  <c:v>90.683369816575095</c:v>
                </c:pt>
                <c:pt idx="5">
                  <c:v>98.276448572461845</c:v>
                </c:pt>
                <c:pt idx="6">
                  <c:v>103.18007895211193</c:v>
                </c:pt>
                <c:pt idx="7">
                  <c:v>105.47880425141237</c:v>
                </c:pt>
                <c:pt idx="8">
                  <c:v>102.61549303999571</c:v>
                </c:pt>
                <c:pt idx="9">
                  <c:v>102.3290948743018</c:v>
                </c:pt>
                <c:pt idx="10">
                  <c:v>102.57454388342171</c:v>
                </c:pt>
                <c:pt idx="11">
                  <c:v>100.1758442317214</c:v>
                </c:pt>
                <c:pt idx="12">
                  <c:v>98.856015913063118</c:v>
                </c:pt>
                <c:pt idx="13">
                  <c:v>99.625883726316076</c:v>
                </c:pt>
                <c:pt idx="14">
                  <c:v>97.888356638400353</c:v>
                </c:pt>
                <c:pt idx="15">
                  <c:v>97.603268347053884</c:v>
                </c:pt>
                <c:pt idx="16">
                  <c:v>97.694933304831252</c:v>
                </c:pt>
                <c:pt idx="17">
                  <c:v>98.007521442163764</c:v>
                </c:pt>
                <c:pt idx="18">
                  <c:v>94.20323471354547</c:v>
                </c:pt>
                <c:pt idx="19">
                  <c:v>92.351475524902341</c:v>
                </c:pt>
                <c:pt idx="20">
                  <c:v>91.104362502053519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D-6B42-BB42-897314D953F6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Frec'!$I$136:$I$156</c:f>
              <c:numCache>
                <c:formatCode>0.00</c:formatCode>
                <c:ptCount val="21"/>
                <c:pt idx="0">
                  <c:v>75.823652182322732</c:v>
                </c:pt>
                <c:pt idx="1">
                  <c:v>80.13753092911621</c:v>
                </c:pt>
                <c:pt idx="2">
                  <c:v>87.605818955873374</c:v>
                </c:pt>
                <c:pt idx="3">
                  <c:v>87.170813202744768</c:v>
                </c:pt>
                <c:pt idx="4">
                  <c:v>90.092565436874921</c:v>
                </c:pt>
                <c:pt idx="5">
                  <c:v>92.666166169690953</c:v>
                </c:pt>
                <c:pt idx="6">
                  <c:v>96.516998617058121</c:v>
                </c:pt>
                <c:pt idx="7">
                  <c:v>102.62180219688307</c:v>
                </c:pt>
                <c:pt idx="8">
                  <c:v>104.31009310353743</c:v>
                </c:pt>
                <c:pt idx="9">
                  <c:v>102.96813498965243</c:v>
                </c:pt>
                <c:pt idx="10">
                  <c:v>98.399757138910687</c:v>
                </c:pt>
                <c:pt idx="11">
                  <c:v>98.154932657877609</c:v>
                </c:pt>
                <c:pt idx="12">
                  <c:v>98.245944835521556</c:v>
                </c:pt>
                <c:pt idx="13">
                  <c:v>97.482781941847691</c:v>
                </c:pt>
                <c:pt idx="14">
                  <c:v>95.853570240741675</c:v>
                </c:pt>
                <c:pt idx="15">
                  <c:v>95.569945303689607</c:v>
                </c:pt>
                <c:pt idx="16">
                  <c:v>95.646343720264923</c:v>
                </c:pt>
                <c:pt idx="17">
                  <c:v>95.985205567913297</c:v>
                </c:pt>
                <c:pt idx="18">
                  <c:v>93.809285257163779</c:v>
                </c:pt>
                <c:pt idx="19">
                  <c:v>91.155452289925449</c:v>
                </c:pt>
                <c:pt idx="20">
                  <c:v>89.752504542569042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D-6B42-BB42-897314D953F6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Frec'!$J$136:$J$156</c:f>
              <c:numCache>
                <c:formatCode>0.00</c:formatCode>
                <c:ptCount val="21"/>
                <c:pt idx="0">
                  <c:v>75.199756914642251</c:v>
                </c:pt>
                <c:pt idx="1">
                  <c:v>83.46411587544624</c:v>
                </c:pt>
                <c:pt idx="2">
                  <c:v>90.641555959364098</c:v>
                </c:pt>
                <c:pt idx="3">
                  <c:v>89.299503654833657</c:v>
                </c:pt>
                <c:pt idx="4">
                  <c:v>90.607802153761469</c:v>
                </c:pt>
                <c:pt idx="5">
                  <c:v>91.621883663007864</c:v>
                </c:pt>
                <c:pt idx="6">
                  <c:v>96.175737653459819</c:v>
                </c:pt>
                <c:pt idx="7">
                  <c:v>104.05067718130525</c:v>
                </c:pt>
                <c:pt idx="8">
                  <c:v>101.40336061764576</c:v>
                </c:pt>
                <c:pt idx="9">
                  <c:v>103.32413372231071</c:v>
                </c:pt>
                <c:pt idx="10">
                  <c:v>98.826064197320136</c:v>
                </c:pt>
                <c:pt idx="11">
                  <c:v>97.824363232110059</c:v>
                </c:pt>
                <c:pt idx="12">
                  <c:v>99.096685360824594</c:v>
                </c:pt>
                <c:pt idx="13">
                  <c:v>99.898631634527263</c:v>
                </c:pt>
                <c:pt idx="14">
                  <c:v>96.185030248780919</c:v>
                </c:pt>
                <c:pt idx="15">
                  <c:v>94.178634910619593</c:v>
                </c:pt>
                <c:pt idx="16">
                  <c:v>96.366256223045212</c:v>
                </c:pt>
                <c:pt idx="17">
                  <c:v>96.452622398297066</c:v>
                </c:pt>
                <c:pt idx="18">
                  <c:v>94.373046882217977</c:v>
                </c:pt>
                <c:pt idx="19">
                  <c:v>90.821057019193105</c:v>
                </c:pt>
                <c:pt idx="20">
                  <c:v>89.240836577474113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2D-6B42-BB42-897314D953F6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Frec'!$K$136:$K$156</c:f>
              <c:numCache>
                <c:formatCode>0.00</c:formatCode>
                <c:ptCount val="21"/>
                <c:pt idx="0">
                  <c:v>72.485892377786755</c:v>
                </c:pt>
                <c:pt idx="1">
                  <c:v>88.630660412782092</c:v>
                </c:pt>
                <c:pt idx="2">
                  <c:v>94.160373720163662</c:v>
                </c:pt>
                <c:pt idx="3">
                  <c:v>84.064621166196829</c:v>
                </c:pt>
                <c:pt idx="4">
                  <c:v>89.250103634410138</c:v>
                </c:pt>
                <c:pt idx="5">
                  <c:v>94.391020402917334</c:v>
                </c:pt>
                <c:pt idx="6">
                  <c:v>102.22891736053093</c:v>
                </c:pt>
                <c:pt idx="7">
                  <c:v>104.69362169937551</c:v>
                </c:pt>
                <c:pt idx="8">
                  <c:v>101.85779145756794</c:v>
                </c:pt>
                <c:pt idx="9">
                  <c:v>103.53200255800127</c:v>
                </c:pt>
                <c:pt idx="10">
                  <c:v>101.17206345108796</c:v>
                </c:pt>
                <c:pt idx="11">
                  <c:v>101.2099479336689</c:v>
                </c:pt>
                <c:pt idx="12">
                  <c:v>101.64146270607867</c:v>
                </c:pt>
                <c:pt idx="13">
                  <c:v>99.687617481148834</c:v>
                </c:pt>
                <c:pt idx="14">
                  <c:v>96.777969763794516</c:v>
                </c:pt>
                <c:pt idx="15">
                  <c:v>97.603458934059901</c:v>
                </c:pt>
                <c:pt idx="16">
                  <c:v>95.678382470092203</c:v>
                </c:pt>
                <c:pt idx="17">
                  <c:v>98.219781200203613</c:v>
                </c:pt>
                <c:pt idx="18">
                  <c:v>94.765549267993094</c:v>
                </c:pt>
                <c:pt idx="19">
                  <c:v>91.879182521974968</c:v>
                </c:pt>
                <c:pt idx="20">
                  <c:v>90.59310109802189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2D-6B42-BB42-897314D953F6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Frec'!$C$136:$C$156</c:f>
              <c:numCache>
                <c:formatCode>0.00</c:formatCode>
                <c:ptCount val="21"/>
                <c:pt idx="0">
                  <c:v>26.46942315021014</c:v>
                </c:pt>
                <c:pt idx="1">
                  <c:v>19.024018184726351</c:v>
                </c:pt>
                <c:pt idx="2">
                  <c:v>25.637379282937712</c:v>
                </c:pt>
                <c:pt idx="3">
                  <c:v>21.279253120075122</c:v>
                </c:pt>
                <c:pt idx="4">
                  <c:v>19.664507151580136</c:v>
                </c:pt>
                <c:pt idx="5">
                  <c:v>22.19456680109349</c:v>
                </c:pt>
                <c:pt idx="6">
                  <c:v>20.456081392861158</c:v>
                </c:pt>
                <c:pt idx="7">
                  <c:v>20.662895160471663</c:v>
                </c:pt>
                <c:pt idx="8">
                  <c:v>21.240521553743957</c:v>
                </c:pt>
                <c:pt idx="9">
                  <c:v>21.45340151594581</c:v>
                </c:pt>
                <c:pt idx="10">
                  <c:v>21.834310797008023</c:v>
                </c:pt>
                <c:pt idx="11">
                  <c:v>22.146913411868407</c:v>
                </c:pt>
                <c:pt idx="12">
                  <c:v>22.666651875827029</c:v>
                </c:pt>
                <c:pt idx="13">
                  <c:v>23.385404400769694</c:v>
                </c:pt>
                <c:pt idx="14">
                  <c:v>24.0174561464585</c:v>
                </c:pt>
                <c:pt idx="15">
                  <c:v>25.004070056275367</c:v>
                </c:pt>
                <c:pt idx="16">
                  <c:v>25.738647262513716</c:v>
                </c:pt>
                <c:pt idx="17">
                  <c:v>26.319398473236124</c:v>
                </c:pt>
                <c:pt idx="18">
                  <c:v>27.18455760593687</c:v>
                </c:pt>
                <c:pt idx="19">
                  <c:v>28.086701907789134</c:v>
                </c:pt>
                <c:pt idx="20">
                  <c:v>28.979656410465314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2D-6B42-BB42-897314D9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9261825220291"/>
          <c:y val="0.33429707342104009"/>
          <c:w val="0.10034814072413199"/>
          <c:h val="0.251962466469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Recepción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Frec'!$P$135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Frec'!$P$136:$P$156</c:f>
              <c:numCache>
                <c:formatCode>0.00</c:formatCode>
                <c:ptCount val="21"/>
                <c:pt idx="0">
                  <c:v>80.057120008933168</c:v>
                </c:pt>
                <c:pt idx="1">
                  <c:v>79.093252646547327</c:v>
                </c:pt>
                <c:pt idx="2">
                  <c:v>82.820581539995686</c:v>
                </c:pt>
                <c:pt idx="3">
                  <c:v>82.54241943359375</c:v>
                </c:pt>
                <c:pt idx="4">
                  <c:v>90.318446125660842</c:v>
                </c:pt>
                <c:pt idx="5">
                  <c:v>102.16405054946797</c:v>
                </c:pt>
                <c:pt idx="6">
                  <c:v>100.08203963723315</c:v>
                </c:pt>
                <c:pt idx="7">
                  <c:v>103.05628069537872</c:v>
                </c:pt>
                <c:pt idx="8">
                  <c:v>103.57878066156746</c:v>
                </c:pt>
                <c:pt idx="9">
                  <c:v>102.29772960877806</c:v>
                </c:pt>
                <c:pt idx="10">
                  <c:v>101.32755777236953</c:v>
                </c:pt>
                <c:pt idx="11">
                  <c:v>102.0639731143926</c:v>
                </c:pt>
                <c:pt idx="12">
                  <c:v>98.086578216115527</c:v>
                </c:pt>
                <c:pt idx="13">
                  <c:v>98.493062016615553</c:v>
                </c:pt>
                <c:pt idx="14">
                  <c:v>97.674552064912021</c:v>
                </c:pt>
                <c:pt idx="15">
                  <c:v>96.05450388444757</c:v>
                </c:pt>
                <c:pt idx="16">
                  <c:v>96.133978063078757</c:v>
                </c:pt>
                <c:pt idx="17">
                  <c:v>97.504595628098983</c:v>
                </c:pt>
                <c:pt idx="18">
                  <c:v>95.425948120233784</c:v>
                </c:pt>
                <c:pt idx="19">
                  <c:v>91.955886279728261</c:v>
                </c:pt>
                <c:pt idx="20">
                  <c:v>90.395335010721666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0-A242-A2B7-D1CF68E6C25B}"/>
            </c:ext>
          </c:extLst>
        </c:ser>
        <c:ser>
          <c:idx val="1"/>
          <c:order val="1"/>
          <c:tx>
            <c:strRef>
              <c:f>'1º Alta Frec'!$Q$135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Frec'!$Q$136:$Q$156</c:f>
              <c:numCache>
                <c:formatCode>0.00</c:formatCode>
                <c:ptCount val="21"/>
                <c:pt idx="0">
                  <c:v>77.602896688612347</c:v>
                </c:pt>
                <c:pt idx="1">
                  <c:v>82.151660413373236</c:v>
                </c:pt>
                <c:pt idx="2">
                  <c:v>94.344562130079737</c:v>
                </c:pt>
                <c:pt idx="3">
                  <c:v>88.224942307445886</c:v>
                </c:pt>
                <c:pt idx="4">
                  <c:v>89.046106826754126</c:v>
                </c:pt>
                <c:pt idx="5">
                  <c:v>96.205488665108305</c:v>
                </c:pt>
                <c:pt idx="6">
                  <c:v>101.38444249274322</c:v>
                </c:pt>
                <c:pt idx="7">
                  <c:v>98.084716206756084</c:v>
                </c:pt>
                <c:pt idx="8">
                  <c:v>100.42696854115411</c:v>
                </c:pt>
                <c:pt idx="9">
                  <c:v>100.16849623903165</c:v>
                </c:pt>
                <c:pt idx="10">
                  <c:v>101.93577269383776</c:v>
                </c:pt>
                <c:pt idx="11">
                  <c:v>97.415841490743787</c:v>
                </c:pt>
                <c:pt idx="12">
                  <c:v>99.59022745374817</c:v>
                </c:pt>
                <c:pt idx="13">
                  <c:v>98.167160258986897</c:v>
                </c:pt>
                <c:pt idx="14">
                  <c:v>95.087837296515758</c:v>
                </c:pt>
                <c:pt idx="15">
                  <c:v>95.336600337019718</c:v>
                </c:pt>
                <c:pt idx="16">
                  <c:v>95.061615784084822</c:v>
                </c:pt>
                <c:pt idx="17">
                  <c:v>98.180902540793511</c:v>
                </c:pt>
                <c:pt idx="18">
                  <c:v>95.122336645811302</c:v>
                </c:pt>
                <c:pt idx="19">
                  <c:v>91.331000073399551</c:v>
                </c:pt>
                <c:pt idx="20">
                  <c:v>89.829419903553216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0-A242-A2B7-D1CF68E6C25B}"/>
            </c:ext>
          </c:extLst>
        </c:ser>
        <c:ser>
          <c:idx val="2"/>
          <c:order val="2"/>
          <c:tx>
            <c:strRef>
              <c:f>'1º Alta Frec'!$R$135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Frec'!$R$136:$R$156</c:f>
              <c:numCache>
                <c:formatCode>0.00</c:formatCode>
                <c:ptCount val="21"/>
                <c:pt idx="0">
                  <c:v>82.97510590091828</c:v>
                </c:pt>
                <c:pt idx="1">
                  <c:v>84.974258987455713</c:v>
                </c:pt>
                <c:pt idx="2">
                  <c:v>92.791803501136386</c:v>
                </c:pt>
                <c:pt idx="3">
                  <c:v>92.294432428349126</c:v>
                </c:pt>
                <c:pt idx="4">
                  <c:v>93.052286933450134</c:v>
                </c:pt>
                <c:pt idx="5">
                  <c:v>101.34612368270614</c:v>
                </c:pt>
                <c:pt idx="6">
                  <c:v>98.564226320617792</c:v>
                </c:pt>
                <c:pt idx="7">
                  <c:v>99.689839878842321</c:v>
                </c:pt>
                <c:pt idx="8">
                  <c:v>104.38282757782619</c:v>
                </c:pt>
                <c:pt idx="9">
                  <c:v>101.23107393326298</c:v>
                </c:pt>
                <c:pt idx="10">
                  <c:v>101.45037630432245</c:v>
                </c:pt>
                <c:pt idx="11">
                  <c:v>101.68213686861621</c:v>
                </c:pt>
                <c:pt idx="12">
                  <c:v>99.965698647544329</c:v>
                </c:pt>
                <c:pt idx="13">
                  <c:v>98.675611282435497</c:v>
                </c:pt>
                <c:pt idx="14">
                  <c:v>98.393778770200669</c:v>
                </c:pt>
                <c:pt idx="15">
                  <c:v>95.879291201452148</c:v>
                </c:pt>
                <c:pt idx="16">
                  <c:v>94.851422702564918</c:v>
                </c:pt>
                <c:pt idx="17">
                  <c:v>97.456233334043674</c:v>
                </c:pt>
                <c:pt idx="18">
                  <c:v>95.508918393042777</c:v>
                </c:pt>
                <c:pt idx="19">
                  <c:v>91.640230884588192</c:v>
                </c:pt>
                <c:pt idx="20">
                  <c:v>90.073205205928218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0-A242-A2B7-D1CF68E6C25B}"/>
            </c:ext>
          </c:extLst>
        </c:ser>
        <c:ser>
          <c:idx val="3"/>
          <c:order val="3"/>
          <c:tx>
            <c:strRef>
              <c:f>'1º Alta Frec'!$S$135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Frec'!$S$136:$S$156</c:f>
              <c:numCache>
                <c:formatCode>0.00</c:formatCode>
                <c:ptCount val="21"/>
                <c:pt idx="0">
                  <c:v>86.334530548615888</c:v>
                </c:pt>
                <c:pt idx="1">
                  <c:v>89.834457751476407</c:v>
                </c:pt>
                <c:pt idx="2">
                  <c:v>95.41781262195471</c:v>
                </c:pt>
                <c:pt idx="3">
                  <c:v>89.766342365380495</c:v>
                </c:pt>
                <c:pt idx="4">
                  <c:v>90.957123619137391</c:v>
                </c:pt>
                <c:pt idx="5">
                  <c:v>92.074796337069884</c:v>
                </c:pt>
                <c:pt idx="6">
                  <c:v>95.428023309418649</c:v>
                </c:pt>
                <c:pt idx="7">
                  <c:v>92.934385184085727</c:v>
                </c:pt>
                <c:pt idx="8">
                  <c:v>98.715053002039596</c:v>
                </c:pt>
                <c:pt idx="9">
                  <c:v>102.39585005153309</c:v>
                </c:pt>
                <c:pt idx="10">
                  <c:v>101.06620248158772</c:v>
                </c:pt>
                <c:pt idx="11">
                  <c:v>101.74283155527982</c:v>
                </c:pt>
                <c:pt idx="12">
                  <c:v>97.925270029992774</c:v>
                </c:pt>
                <c:pt idx="13">
                  <c:v>98.734252279455006</c:v>
                </c:pt>
                <c:pt idx="14">
                  <c:v>95.710289528875634</c:v>
                </c:pt>
                <c:pt idx="15">
                  <c:v>95.929601864381269</c:v>
                </c:pt>
                <c:pt idx="16">
                  <c:v>96.66308756308122</c:v>
                </c:pt>
                <c:pt idx="17">
                  <c:v>97.115761366757482</c:v>
                </c:pt>
                <c:pt idx="18">
                  <c:v>95.129673126972079</c:v>
                </c:pt>
                <c:pt idx="19">
                  <c:v>90.837846770431057</c:v>
                </c:pt>
                <c:pt idx="20">
                  <c:v>89.708046934821382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30-A242-A2B7-D1CF68E6C25B}"/>
            </c:ext>
          </c:extLst>
        </c:ser>
        <c:ser>
          <c:idx val="4"/>
          <c:order val="4"/>
          <c:tx>
            <c:strRef>
              <c:f>'1º Alta Frec'!$T$135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Frec'!$T$136:$T$156</c:f>
              <c:numCache>
                <c:formatCode>0.00</c:formatCode>
                <c:ptCount val="21"/>
                <c:pt idx="0">
                  <c:v>70.388628232399853</c:v>
                </c:pt>
                <c:pt idx="1">
                  <c:v>75.092467182155801</c:v>
                </c:pt>
                <c:pt idx="2">
                  <c:v>83.465417867372523</c:v>
                </c:pt>
                <c:pt idx="3">
                  <c:v>88.750856571614122</c:v>
                </c:pt>
                <c:pt idx="4">
                  <c:v>88.838520068162296</c:v>
                </c:pt>
                <c:pt idx="5">
                  <c:v>100.67327406286401</c:v>
                </c:pt>
                <c:pt idx="6">
                  <c:v>99.052820957397572</c:v>
                </c:pt>
                <c:pt idx="7">
                  <c:v>101.89530814407219</c:v>
                </c:pt>
                <c:pt idx="8">
                  <c:v>100.5370927033601</c:v>
                </c:pt>
                <c:pt idx="9">
                  <c:v>103.49666707037974</c:v>
                </c:pt>
                <c:pt idx="10">
                  <c:v>100.15221033340845</c:v>
                </c:pt>
                <c:pt idx="11">
                  <c:v>101.02315561814412</c:v>
                </c:pt>
                <c:pt idx="12">
                  <c:v>100.74278038292982</c:v>
                </c:pt>
                <c:pt idx="13">
                  <c:v>98.962460741584678</c:v>
                </c:pt>
                <c:pt idx="14">
                  <c:v>96.985578741669542</c:v>
                </c:pt>
                <c:pt idx="15">
                  <c:v>95.550884395356647</c:v>
                </c:pt>
                <c:pt idx="16">
                  <c:v>95.649005466037323</c:v>
                </c:pt>
                <c:pt idx="17">
                  <c:v>97.15032935074592</c:v>
                </c:pt>
                <c:pt idx="18">
                  <c:v>94.788030647937163</c:v>
                </c:pt>
                <c:pt idx="19">
                  <c:v>91.12201882676635</c:v>
                </c:pt>
                <c:pt idx="20">
                  <c:v>90.668482788607605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30-A242-A2B7-D1CF68E6C25B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Frec'!$C$136:$C$156</c:f>
              <c:numCache>
                <c:formatCode>0.00</c:formatCode>
                <c:ptCount val="21"/>
                <c:pt idx="0">
                  <c:v>26.46942315021014</c:v>
                </c:pt>
                <c:pt idx="1">
                  <c:v>19.024018184726351</c:v>
                </c:pt>
                <c:pt idx="2">
                  <c:v>25.637379282937712</c:v>
                </c:pt>
                <c:pt idx="3">
                  <c:v>21.279253120075122</c:v>
                </c:pt>
                <c:pt idx="4">
                  <c:v>19.664507151580136</c:v>
                </c:pt>
                <c:pt idx="5">
                  <c:v>22.19456680109349</c:v>
                </c:pt>
                <c:pt idx="6">
                  <c:v>20.456081392861158</c:v>
                </c:pt>
                <c:pt idx="7">
                  <c:v>20.662895160471663</c:v>
                </c:pt>
                <c:pt idx="8">
                  <c:v>21.240521553743957</c:v>
                </c:pt>
                <c:pt idx="9">
                  <c:v>21.45340151594581</c:v>
                </c:pt>
                <c:pt idx="10">
                  <c:v>21.834310797008023</c:v>
                </c:pt>
                <c:pt idx="11">
                  <c:v>22.146913411868407</c:v>
                </c:pt>
                <c:pt idx="12">
                  <c:v>22.666651875827029</c:v>
                </c:pt>
                <c:pt idx="13">
                  <c:v>23.385404400769694</c:v>
                </c:pt>
                <c:pt idx="14">
                  <c:v>24.0174561464585</c:v>
                </c:pt>
                <c:pt idx="15">
                  <c:v>25.004070056275367</c:v>
                </c:pt>
                <c:pt idx="16">
                  <c:v>25.738647262513716</c:v>
                </c:pt>
                <c:pt idx="17">
                  <c:v>26.319398473236124</c:v>
                </c:pt>
                <c:pt idx="18">
                  <c:v>27.18455760593687</c:v>
                </c:pt>
                <c:pt idx="19">
                  <c:v>28.086701907789134</c:v>
                </c:pt>
                <c:pt idx="20">
                  <c:v>28.979656410465314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30-A242-A2B7-D1CF68E6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0660772801997"/>
          <c:y val="0.32226434516189023"/>
          <c:w val="0.10036433974139972"/>
          <c:h val="0.25137767564154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superior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Frec'!$P$6:$P$26</c:f>
              <c:numCache>
                <c:formatCode>0.00</c:formatCode>
                <c:ptCount val="21"/>
                <c:pt idx="0">
                  <c:v>55.78968669877586</c:v>
                </c:pt>
                <c:pt idx="1">
                  <c:v>41.87870631235171</c:v>
                </c:pt>
                <c:pt idx="2">
                  <c:v>42.974330120568673</c:v>
                </c:pt>
                <c:pt idx="3">
                  <c:v>45.58057539557722</c:v>
                </c:pt>
                <c:pt idx="4">
                  <c:v>51.402307668747888</c:v>
                </c:pt>
                <c:pt idx="5">
                  <c:v>59.638913667589321</c:v>
                </c:pt>
                <c:pt idx="6">
                  <c:v>61.863183376160769</c:v>
                </c:pt>
                <c:pt idx="7">
                  <c:v>56.648542896504864</c:v>
                </c:pt>
                <c:pt idx="8">
                  <c:v>63.081832100768381</c:v>
                </c:pt>
                <c:pt idx="9">
                  <c:v>61.35584161255764</c:v>
                </c:pt>
                <c:pt idx="10">
                  <c:v>56.594453374401326</c:v>
                </c:pt>
                <c:pt idx="11">
                  <c:v>51.330596221483141</c:v>
                </c:pt>
                <c:pt idx="12">
                  <c:v>48.676824642002366</c:v>
                </c:pt>
                <c:pt idx="13">
                  <c:v>47.31824779510498</c:v>
                </c:pt>
                <c:pt idx="14">
                  <c:v>46.772535079653082</c:v>
                </c:pt>
                <c:pt idx="15">
                  <c:v>43.064515358274164</c:v>
                </c:pt>
                <c:pt idx="16">
                  <c:v>44.001479565451724</c:v>
                </c:pt>
                <c:pt idx="17">
                  <c:v>50.165487423700547</c:v>
                </c:pt>
                <c:pt idx="18">
                  <c:v>52.287878101913506</c:v>
                </c:pt>
                <c:pt idx="19">
                  <c:v>46.419317992585661</c:v>
                </c:pt>
                <c:pt idx="20">
                  <c:v>39.484888238597001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0-4046-9188-50B023E5FB08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Frec'!$Q$6:$Q$26</c:f>
              <c:numCache>
                <c:formatCode>0.00</c:formatCode>
                <c:ptCount val="21"/>
                <c:pt idx="0">
                  <c:v>46.526660543631287</c:v>
                </c:pt>
                <c:pt idx="1">
                  <c:v>42.494247036623541</c:v>
                </c:pt>
                <c:pt idx="2">
                  <c:v>50.319312353838328</c:v>
                </c:pt>
                <c:pt idx="3">
                  <c:v>47.47168920859491</c:v>
                </c:pt>
                <c:pt idx="4">
                  <c:v>59.461361724241492</c:v>
                </c:pt>
                <c:pt idx="5">
                  <c:v>62.426854949923353</c:v>
                </c:pt>
                <c:pt idx="6">
                  <c:v>60.45438259823711</c:v>
                </c:pt>
                <c:pt idx="7">
                  <c:v>59.347670973270944</c:v>
                </c:pt>
                <c:pt idx="8">
                  <c:v>62.593729799839181</c:v>
                </c:pt>
                <c:pt idx="9">
                  <c:v>59.54741896470243</c:v>
                </c:pt>
                <c:pt idx="10">
                  <c:v>57.296832200278992</c:v>
                </c:pt>
                <c:pt idx="11">
                  <c:v>51.42319912071541</c:v>
                </c:pt>
                <c:pt idx="12">
                  <c:v>49.049187749760087</c:v>
                </c:pt>
                <c:pt idx="13">
                  <c:v>47.559063635854798</c:v>
                </c:pt>
                <c:pt idx="14">
                  <c:v>46.315230220909434</c:v>
                </c:pt>
                <c:pt idx="15">
                  <c:v>45.224184020606629</c:v>
                </c:pt>
                <c:pt idx="16">
                  <c:v>44.936277047003415</c:v>
                </c:pt>
                <c:pt idx="17">
                  <c:v>50.443251760199381</c:v>
                </c:pt>
                <c:pt idx="18">
                  <c:v>51.826432428907673</c:v>
                </c:pt>
                <c:pt idx="19">
                  <c:v>46.843600155770396</c:v>
                </c:pt>
                <c:pt idx="20">
                  <c:v>40.445147153564008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0-4046-9188-50B023E5FB08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Frec'!$R$6:$R$26</c:f>
              <c:numCache>
                <c:formatCode>0.00</c:formatCode>
                <c:ptCount val="21"/>
                <c:pt idx="0">
                  <c:v>59.582931477682934</c:v>
                </c:pt>
                <c:pt idx="1">
                  <c:v>42.694363250051225</c:v>
                </c:pt>
                <c:pt idx="2">
                  <c:v>50.104093095234461</c:v>
                </c:pt>
                <c:pt idx="3">
                  <c:v>47.511398669651577</c:v>
                </c:pt>
                <c:pt idx="4">
                  <c:v>55.799221631458828</c:v>
                </c:pt>
                <c:pt idx="5">
                  <c:v>63.544694788115365</c:v>
                </c:pt>
                <c:pt idx="6">
                  <c:v>59.786989848954335</c:v>
                </c:pt>
                <c:pt idx="7">
                  <c:v>59.221481932912553</c:v>
                </c:pt>
                <c:pt idx="8">
                  <c:v>60.000269814899987</c:v>
                </c:pt>
                <c:pt idx="9">
                  <c:v>58.657710068566459</c:v>
                </c:pt>
                <c:pt idx="10">
                  <c:v>57.682916968209405</c:v>
                </c:pt>
                <c:pt idx="11">
                  <c:v>52.248898492540633</c:v>
                </c:pt>
                <c:pt idx="12">
                  <c:v>48.053345016070772</c:v>
                </c:pt>
                <c:pt idx="13">
                  <c:v>47.276751681736535</c:v>
                </c:pt>
                <c:pt idx="14">
                  <c:v>45.850445818901065</c:v>
                </c:pt>
                <c:pt idx="15">
                  <c:v>43.914423179626468</c:v>
                </c:pt>
                <c:pt idx="16">
                  <c:v>44.907521949495589</c:v>
                </c:pt>
                <c:pt idx="17">
                  <c:v>50.979661086627416</c:v>
                </c:pt>
                <c:pt idx="18">
                  <c:v>52.709049129486083</c:v>
                </c:pt>
                <c:pt idx="19">
                  <c:v>46.99254101344517</c:v>
                </c:pt>
                <c:pt idx="20">
                  <c:v>40.462085665975302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0-4046-9188-50B023E5FB08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Frec'!$S$6:$S$26</c:f>
              <c:numCache>
                <c:formatCode>0.00</c:formatCode>
                <c:ptCount val="21"/>
                <c:pt idx="0">
                  <c:v>60.533370098882344</c:v>
                </c:pt>
                <c:pt idx="1">
                  <c:v>40.994605283433891</c:v>
                </c:pt>
                <c:pt idx="2">
                  <c:v>50.05688986087435</c:v>
                </c:pt>
                <c:pt idx="3">
                  <c:v>47.996973185994179</c:v>
                </c:pt>
                <c:pt idx="4">
                  <c:v>57.54967747475991</c:v>
                </c:pt>
                <c:pt idx="5">
                  <c:v>61.318646430969238</c:v>
                </c:pt>
                <c:pt idx="6">
                  <c:v>59.414812374451976</c:v>
                </c:pt>
                <c:pt idx="7">
                  <c:v>59.575628866997711</c:v>
                </c:pt>
                <c:pt idx="8">
                  <c:v>63.9216657847482</c:v>
                </c:pt>
                <c:pt idx="9">
                  <c:v>60.237661307776357</c:v>
                </c:pt>
                <c:pt idx="10">
                  <c:v>57.652902818821346</c:v>
                </c:pt>
                <c:pt idx="11">
                  <c:v>52.53056075968928</c:v>
                </c:pt>
                <c:pt idx="12">
                  <c:v>49.918870201380429</c:v>
                </c:pt>
                <c:pt idx="13">
                  <c:v>48.29105877286554</c:v>
                </c:pt>
                <c:pt idx="14">
                  <c:v>47.760107737969172</c:v>
                </c:pt>
                <c:pt idx="15">
                  <c:v>46.287050648207376</c:v>
                </c:pt>
                <c:pt idx="16">
                  <c:v>47.554286623169595</c:v>
                </c:pt>
                <c:pt idx="17">
                  <c:v>54.910796344069624</c:v>
                </c:pt>
                <c:pt idx="18">
                  <c:v>56.83136947416164</c:v>
                </c:pt>
                <c:pt idx="19">
                  <c:v>50.433200468865387</c:v>
                </c:pt>
                <c:pt idx="20">
                  <c:v>43.341050586093864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0-4046-9188-50B023E5FB08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Frec'!$T$6:$T$26</c:f>
              <c:numCache>
                <c:formatCode>0.00</c:formatCode>
                <c:ptCount val="21"/>
                <c:pt idx="0">
                  <c:v>57.504116921279333</c:v>
                </c:pt>
                <c:pt idx="1">
                  <c:v>40.172887880883479</c:v>
                </c:pt>
                <c:pt idx="2">
                  <c:v>42.669053493753154</c:v>
                </c:pt>
                <c:pt idx="3">
                  <c:v>48.797236680556459</c:v>
                </c:pt>
                <c:pt idx="4">
                  <c:v>59.317377412340583</c:v>
                </c:pt>
                <c:pt idx="5">
                  <c:v>59.315413606873108</c:v>
                </c:pt>
                <c:pt idx="6">
                  <c:v>60.037357820000643</c:v>
                </c:pt>
                <c:pt idx="7">
                  <c:v>62.27843290770717</c:v>
                </c:pt>
                <c:pt idx="8">
                  <c:v>64.793341162388799</c:v>
                </c:pt>
                <c:pt idx="9">
                  <c:v>60.620819560929306</c:v>
                </c:pt>
                <c:pt idx="10">
                  <c:v>57.367041069044461</c:v>
                </c:pt>
                <c:pt idx="11">
                  <c:v>52.837579271737724</c:v>
                </c:pt>
                <c:pt idx="12">
                  <c:v>50.66378666382932</c:v>
                </c:pt>
                <c:pt idx="13">
                  <c:v>47.151827762542119</c:v>
                </c:pt>
                <c:pt idx="14">
                  <c:v>46.890673060391492</c:v>
                </c:pt>
                <c:pt idx="15">
                  <c:v>45.13378133037574</c:v>
                </c:pt>
                <c:pt idx="16">
                  <c:v>44.666434210977606</c:v>
                </c:pt>
                <c:pt idx="17">
                  <c:v>50.652511918566169</c:v>
                </c:pt>
                <c:pt idx="18">
                  <c:v>52.792205557146879</c:v>
                </c:pt>
                <c:pt idx="19">
                  <c:v>47.394746249625243</c:v>
                </c:pt>
                <c:pt idx="20">
                  <c:v>40.499934133122167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0-4046-9188-50B023E5FB08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Frec'!$C$6:$C$26</c:f>
              <c:numCache>
                <c:formatCode>0.00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A0-4046-9188-50B023E5FB08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Frec'!$P$6:$P$26</c:f>
              <c:numCache>
                <c:formatCode>0.00</c:formatCode>
                <c:ptCount val="21"/>
                <c:pt idx="0">
                  <c:v>55.78968669877586</c:v>
                </c:pt>
                <c:pt idx="1">
                  <c:v>41.87870631235171</c:v>
                </c:pt>
                <c:pt idx="2">
                  <c:v>42.974330120568673</c:v>
                </c:pt>
                <c:pt idx="3">
                  <c:v>45.58057539557722</c:v>
                </c:pt>
                <c:pt idx="4">
                  <c:v>51.402307668747888</c:v>
                </c:pt>
                <c:pt idx="5">
                  <c:v>59.638913667589321</c:v>
                </c:pt>
                <c:pt idx="6">
                  <c:v>61.863183376160769</c:v>
                </c:pt>
                <c:pt idx="7">
                  <c:v>56.648542896504864</c:v>
                </c:pt>
                <c:pt idx="8">
                  <c:v>63.081832100768381</c:v>
                </c:pt>
                <c:pt idx="9">
                  <c:v>61.35584161255764</c:v>
                </c:pt>
                <c:pt idx="10">
                  <c:v>56.594453374401326</c:v>
                </c:pt>
                <c:pt idx="11">
                  <c:v>51.330596221483141</c:v>
                </c:pt>
                <c:pt idx="12">
                  <c:v>48.676824642002366</c:v>
                </c:pt>
                <c:pt idx="13">
                  <c:v>47.31824779510498</c:v>
                </c:pt>
                <c:pt idx="14">
                  <c:v>46.772535079653082</c:v>
                </c:pt>
                <c:pt idx="15">
                  <c:v>43.064515358274164</c:v>
                </c:pt>
                <c:pt idx="16">
                  <c:v>44.001479565451724</c:v>
                </c:pt>
                <c:pt idx="17">
                  <c:v>50.165487423700547</c:v>
                </c:pt>
                <c:pt idx="18">
                  <c:v>52.287878101913506</c:v>
                </c:pt>
                <c:pt idx="19">
                  <c:v>46.419317992585661</c:v>
                </c:pt>
                <c:pt idx="20">
                  <c:v>39.484888238597001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A0-4046-9188-50B023E5FB08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''1º Alta Frec'!$E$6:$E$26</c:v>
              </c:pt>
            </c:strLit>
          </c:xVal>
          <c:yVal>
            <c:numRef>
              <c:f>'1º Alta Frec'!$Q$6:$Q$26</c:f>
              <c:numCache>
                <c:formatCode>0.00</c:formatCode>
                <c:ptCount val="21"/>
                <c:pt idx="0">
                  <c:v>46.526660543631287</c:v>
                </c:pt>
                <c:pt idx="1">
                  <c:v>42.494247036623541</c:v>
                </c:pt>
                <c:pt idx="2">
                  <c:v>50.319312353838328</c:v>
                </c:pt>
                <c:pt idx="3">
                  <c:v>47.47168920859491</c:v>
                </c:pt>
                <c:pt idx="4">
                  <c:v>59.461361724241492</c:v>
                </c:pt>
                <c:pt idx="5">
                  <c:v>62.426854949923353</c:v>
                </c:pt>
                <c:pt idx="6">
                  <c:v>60.45438259823711</c:v>
                </c:pt>
                <c:pt idx="7">
                  <c:v>59.347670973270944</c:v>
                </c:pt>
                <c:pt idx="8">
                  <c:v>62.593729799839181</c:v>
                </c:pt>
                <c:pt idx="9">
                  <c:v>59.54741896470243</c:v>
                </c:pt>
                <c:pt idx="10">
                  <c:v>57.296832200278992</c:v>
                </c:pt>
                <c:pt idx="11">
                  <c:v>51.42319912071541</c:v>
                </c:pt>
                <c:pt idx="12">
                  <c:v>49.049187749760087</c:v>
                </c:pt>
                <c:pt idx="13">
                  <c:v>47.559063635854798</c:v>
                </c:pt>
                <c:pt idx="14">
                  <c:v>46.315230220909434</c:v>
                </c:pt>
                <c:pt idx="15">
                  <c:v>45.224184020606629</c:v>
                </c:pt>
                <c:pt idx="16">
                  <c:v>44.936277047003415</c:v>
                </c:pt>
                <c:pt idx="17">
                  <c:v>50.443251760199381</c:v>
                </c:pt>
                <c:pt idx="18">
                  <c:v>51.826432428907673</c:v>
                </c:pt>
                <c:pt idx="19">
                  <c:v>46.843600155770396</c:v>
                </c:pt>
                <c:pt idx="20">
                  <c:v>40.445147153564008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A0-4046-9188-50B023E5FB08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Frec'!$R$6:$R$26</c:f>
              <c:numCache>
                <c:formatCode>0.00</c:formatCode>
                <c:ptCount val="21"/>
                <c:pt idx="0">
                  <c:v>59.582931477682934</c:v>
                </c:pt>
                <c:pt idx="1">
                  <c:v>42.694363250051225</c:v>
                </c:pt>
                <c:pt idx="2">
                  <c:v>50.104093095234461</c:v>
                </c:pt>
                <c:pt idx="3">
                  <c:v>47.511398669651577</c:v>
                </c:pt>
                <c:pt idx="4">
                  <c:v>55.799221631458828</c:v>
                </c:pt>
                <c:pt idx="5">
                  <c:v>63.544694788115365</c:v>
                </c:pt>
                <c:pt idx="6">
                  <c:v>59.786989848954335</c:v>
                </c:pt>
                <c:pt idx="7">
                  <c:v>59.221481932912553</c:v>
                </c:pt>
                <c:pt idx="8">
                  <c:v>60.000269814899987</c:v>
                </c:pt>
                <c:pt idx="9">
                  <c:v>58.657710068566459</c:v>
                </c:pt>
                <c:pt idx="10">
                  <c:v>57.682916968209405</c:v>
                </c:pt>
                <c:pt idx="11">
                  <c:v>52.248898492540633</c:v>
                </c:pt>
                <c:pt idx="12">
                  <c:v>48.053345016070772</c:v>
                </c:pt>
                <c:pt idx="13">
                  <c:v>47.276751681736535</c:v>
                </c:pt>
                <c:pt idx="14">
                  <c:v>45.850445818901065</c:v>
                </c:pt>
                <c:pt idx="15">
                  <c:v>43.914423179626468</c:v>
                </c:pt>
                <c:pt idx="16">
                  <c:v>44.907521949495589</c:v>
                </c:pt>
                <c:pt idx="17">
                  <c:v>50.979661086627416</c:v>
                </c:pt>
                <c:pt idx="18">
                  <c:v>52.709049129486083</c:v>
                </c:pt>
                <c:pt idx="19">
                  <c:v>46.99254101344517</c:v>
                </c:pt>
                <c:pt idx="20">
                  <c:v>40.462085665975302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A0-4046-9188-50B023E5FB08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Frec'!$S$6:$S$26</c:f>
              <c:numCache>
                <c:formatCode>0.00</c:formatCode>
                <c:ptCount val="21"/>
                <c:pt idx="0">
                  <c:v>60.533370098882344</c:v>
                </c:pt>
                <c:pt idx="1">
                  <c:v>40.994605283433891</c:v>
                </c:pt>
                <c:pt idx="2">
                  <c:v>50.05688986087435</c:v>
                </c:pt>
                <c:pt idx="3">
                  <c:v>47.996973185994179</c:v>
                </c:pt>
                <c:pt idx="4">
                  <c:v>57.54967747475991</c:v>
                </c:pt>
                <c:pt idx="5">
                  <c:v>61.318646430969238</c:v>
                </c:pt>
                <c:pt idx="6">
                  <c:v>59.414812374451976</c:v>
                </c:pt>
                <c:pt idx="7">
                  <c:v>59.575628866997711</c:v>
                </c:pt>
                <c:pt idx="8">
                  <c:v>63.9216657847482</c:v>
                </c:pt>
                <c:pt idx="9">
                  <c:v>60.237661307776357</c:v>
                </c:pt>
                <c:pt idx="10">
                  <c:v>57.652902818821346</c:v>
                </c:pt>
                <c:pt idx="11">
                  <c:v>52.53056075968928</c:v>
                </c:pt>
                <c:pt idx="12">
                  <c:v>49.918870201380429</c:v>
                </c:pt>
                <c:pt idx="13">
                  <c:v>48.29105877286554</c:v>
                </c:pt>
                <c:pt idx="14">
                  <c:v>47.760107737969172</c:v>
                </c:pt>
                <c:pt idx="15">
                  <c:v>46.287050648207376</c:v>
                </c:pt>
                <c:pt idx="16">
                  <c:v>47.554286623169595</c:v>
                </c:pt>
                <c:pt idx="17">
                  <c:v>54.910796344069624</c:v>
                </c:pt>
                <c:pt idx="18">
                  <c:v>56.83136947416164</c:v>
                </c:pt>
                <c:pt idx="19">
                  <c:v>50.433200468865387</c:v>
                </c:pt>
                <c:pt idx="20">
                  <c:v>43.341050586093864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A0-4046-9188-50B023E5FB08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Frec'!$T$6:$T$26</c:f>
              <c:numCache>
                <c:formatCode>0.00</c:formatCode>
                <c:ptCount val="21"/>
                <c:pt idx="0">
                  <c:v>57.504116921279333</c:v>
                </c:pt>
                <c:pt idx="1">
                  <c:v>40.172887880883479</c:v>
                </c:pt>
                <c:pt idx="2">
                  <c:v>42.669053493753154</c:v>
                </c:pt>
                <c:pt idx="3">
                  <c:v>48.797236680556459</c:v>
                </c:pt>
                <c:pt idx="4">
                  <c:v>59.317377412340583</c:v>
                </c:pt>
                <c:pt idx="5">
                  <c:v>59.315413606873108</c:v>
                </c:pt>
                <c:pt idx="6">
                  <c:v>60.037357820000643</c:v>
                </c:pt>
                <c:pt idx="7">
                  <c:v>62.27843290770717</c:v>
                </c:pt>
                <c:pt idx="8">
                  <c:v>64.793341162388799</c:v>
                </c:pt>
                <c:pt idx="9">
                  <c:v>60.620819560929306</c:v>
                </c:pt>
                <c:pt idx="10">
                  <c:v>57.367041069044461</c:v>
                </c:pt>
                <c:pt idx="11">
                  <c:v>52.837579271737724</c:v>
                </c:pt>
                <c:pt idx="12">
                  <c:v>50.66378666382932</c:v>
                </c:pt>
                <c:pt idx="13">
                  <c:v>47.151827762542119</c:v>
                </c:pt>
                <c:pt idx="14">
                  <c:v>46.890673060391492</c:v>
                </c:pt>
                <c:pt idx="15">
                  <c:v>45.13378133037574</c:v>
                </c:pt>
                <c:pt idx="16">
                  <c:v>44.666434210977606</c:v>
                </c:pt>
                <c:pt idx="17">
                  <c:v>50.652511918566169</c:v>
                </c:pt>
                <c:pt idx="18">
                  <c:v>52.792205557146879</c:v>
                </c:pt>
                <c:pt idx="19">
                  <c:v>47.394746249625243</c:v>
                </c:pt>
                <c:pt idx="20">
                  <c:v>40.499934133122167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A0-4046-9188-50B023E5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9223805827528"/>
          <c:y val="0.1105391608296339"/>
          <c:w val="0.10034812285717135"/>
          <c:h val="0.46102269695222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Escaleras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Frec'!$P$32:$P$52</c:f>
              <c:numCache>
                <c:formatCode>0.00</c:formatCode>
                <c:ptCount val="21"/>
                <c:pt idx="0">
                  <c:v>69.577585923807703</c:v>
                </c:pt>
                <c:pt idx="1">
                  <c:v>57.506203658680498</c:v>
                </c:pt>
                <c:pt idx="2">
                  <c:v>71.877005167333792</c:v>
                </c:pt>
                <c:pt idx="3">
                  <c:v>71.512278400899788</c:v>
                </c:pt>
                <c:pt idx="4">
                  <c:v>71.386758187877817</c:v>
                </c:pt>
                <c:pt idx="5">
                  <c:v>87.156858001825015</c:v>
                </c:pt>
                <c:pt idx="6">
                  <c:v>89.502060523957809</c:v>
                </c:pt>
                <c:pt idx="7">
                  <c:v>89.336040388042036</c:v>
                </c:pt>
                <c:pt idx="8">
                  <c:v>86.697974244904614</c:v>
                </c:pt>
                <c:pt idx="9">
                  <c:v>84.015156314400215</c:v>
                </c:pt>
                <c:pt idx="10">
                  <c:v>79.713752050363524</c:v>
                </c:pt>
                <c:pt idx="11">
                  <c:v>79.222846136346973</c:v>
                </c:pt>
                <c:pt idx="12">
                  <c:v>76.649410276811835</c:v>
                </c:pt>
                <c:pt idx="13">
                  <c:v>75.589278391558864</c:v>
                </c:pt>
                <c:pt idx="14">
                  <c:v>74.598128670522016</c:v>
                </c:pt>
                <c:pt idx="15">
                  <c:v>73.848110148208676</c:v>
                </c:pt>
                <c:pt idx="16">
                  <c:v>74.415051877271992</c:v>
                </c:pt>
                <c:pt idx="17">
                  <c:v>77.470998684263051</c:v>
                </c:pt>
                <c:pt idx="18">
                  <c:v>77.823327604808739</c:v>
                </c:pt>
                <c:pt idx="19">
                  <c:v>72.922943166000309</c:v>
                </c:pt>
                <c:pt idx="20">
                  <c:v>68.540454124769781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2A48-B5F6-557DD4E8D822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Frec'!$H$32:$H$52</c:f>
              <c:numCache>
                <c:formatCode>0.00</c:formatCode>
                <c:ptCount val="21"/>
                <c:pt idx="0">
                  <c:v>64.764941186091434</c:v>
                </c:pt>
                <c:pt idx="1">
                  <c:v>73.007383903877269</c:v>
                </c:pt>
                <c:pt idx="2">
                  <c:v>87.977681417863295</c:v>
                </c:pt>
                <c:pt idx="3">
                  <c:v>80.952213384278679</c:v>
                </c:pt>
                <c:pt idx="4">
                  <c:v>80.268332798121847</c:v>
                </c:pt>
                <c:pt idx="5">
                  <c:v>78.615469418506663</c:v>
                </c:pt>
                <c:pt idx="6">
                  <c:v>77.21757397244933</c:v>
                </c:pt>
                <c:pt idx="7">
                  <c:v>77.906141699983081</c:v>
                </c:pt>
                <c:pt idx="8">
                  <c:v>82.807474783674124</c:v>
                </c:pt>
                <c:pt idx="9">
                  <c:v>77.616670487364061</c:v>
                </c:pt>
                <c:pt idx="10">
                  <c:v>74.967125776675132</c:v>
                </c:pt>
                <c:pt idx="11">
                  <c:v>73.914128242949602</c:v>
                </c:pt>
                <c:pt idx="12">
                  <c:v>72.836248110513296</c:v>
                </c:pt>
                <c:pt idx="13">
                  <c:v>72.547933180405749</c:v>
                </c:pt>
                <c:pt idx="14">
                  <c:v>70.63135176172274</c:v>
                </c:pt>
                <c:pt idx="15">
                  <c:v>69.936030393070837</c:v>
                </c:pt>
                <c:pt idx="16">
                  <c:v>69.145805289654461</c:v>
                </c:pt>
                <c:pt idx="17">
                  <c:v>73.482333707722901</c:v>
                </c:pt>
                <c:pt idx="18">
                  <c:v>72.90505953752411</c:v>
                </c:pt>
                <c:pt idx="19">
                  <c:v>68.342934575574148</c:v>
                </c:pt>
                <c:pt idx="20">
                  <c:v>65.412590677638661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5-2A48-B5F6-557DD4E8D822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Frec'!$I$32:$I$52</c:f>
              <c:numCache>
                <c:formatCode>0.00</c:formatCode>
                <c:ptCount val="21"/>
                <c:pt idx="0">
                  <c:v>74.159870448214136</c:v>
                </c:pt>
                <c:pt idx="1">
                  <c:v>75.655858737213734</c:v>
                </c:pt>
                <c:pt idx="2">
                  <c:v>85.680130803883358</c:v>
                </c:pt>
                <c:pt idx="3">
                  <c:v>74.351525010611851</c:v>
                </c:pt>
                <c:pt idx="4">
                  <c:v>72.638684729716644</c:v>
                </c:pt>
                <c:pt idx="5">
                  <c:v>76.235560136994792</c:v>
                </c:pt>
                <c:pt idx="6">
                  <c:v>81.063177064572145</c:v>
                </c:pt>
                <c:pt idx="7">
                  <c:v>77.340262892955536</c:v>
                </c:pt>
                <c:pt idx="8">
                  <c:v>77.354698273072756</c:v>
                </c:pt>
                <c:pt idx="9">
                  <c:v>75.890918006932324</c:v>
                </c:pt>
                <c:pt idx="10">
                  <c:v>75.658110200530189</c:v>
                </c:pt>
                <c:pt idx="11">
                  <c:v>74.41388149455922</c:v>
                </c:pt>
                <c:pt idx="12">
                  <c:v>72.79275531079395</c:v>
                </c:pt>
                <c:pt idx="13">
                  <c:v>70.019335311027007</c:v>
                </c:pt>
                <c:pt idx="14">
                  <c:v>68.546001190383535</c:v>
                </c:pt>
                <c:pt idx="15">
                  <c:v>67.845776039102319</c:v>
                </c:pt>
                <c:pt idx="16">
                  <c:v>68.521355064187034</c:v>
                </c:pt>
                <c:pt idx="17">
                  <c:v>72.446233952675186</c:v>
                </c:pt>
                <c:pt idx="18">
                  <c:v>72.54752230356975</c:v>
                </c:pt>
                <c:pt idx="19">
                  <c:v>67.500428108731498</c:v>
                </c:pt>
                <c:pt idx="20">
                  <c:v>63.187919811146251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5-2A48-B5F6-557DD4E8D822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Frec'!$J$32:$J$52</c:f>
              <c:numCache>
                <c:formatCode>0.00</c:formatCode>
                <c:ptCount val="21"/>
                <c:pt idx="0">
                  <c:v>75.28042299097234</c:v>
                </c:pt>
                <c:pt idx="1">
                  <c:v>65.049472075520143</c:v>
                </c:pt>
                <c:pt idx="2">
                  <c:v>86.466065363450483</c:v>
                </c:pt>
                <c:pt idx="3">
                  <c:v>78.666765364733607</c:v>
                </c:pt>
                <c:pt idx="4">
                  <c:v>79.750114657662138</c:v>
                </c:pt>
                <c:pt idx="5">
                  <c:v>79.878743626854643</c:v>
                </c:pt>
                <c:pt idx="6">
                  <c:v>84.1359903234424</c:v>
                </c:pt>
                <c:pt idx="7">
                  <c:v>82.88055621493946</c:v>
                </c:pt>
                <c:pt idx="8">
                  <c:v>83.065765482006654</c:v>
                </c:pt>
                <c:pt idx="9">
                  <c:v>77.199660893642545</c:v>
                </c:pt>
                <c:pt idx="10">
                  <c:v>77.409443501270175</c:v>
                </c:pt>
                <c:pt idx="11">
                  <c:v>75.452490878827646</c:v>
                </c:pt>
                <c:pt idx="12">
                  <c:v>76.066355791958898</c:v>
                </c:pt>
                <c:pt idx="13">
                  <c:v>74.155673503875732</c:v>
                </c:pt>
                <c:pt idx="14">
                  <c:v>72.982823357437596</c:v>
                </c:pt>
                <c:pt idx="15">
                  <c:v>71.962110685579702</c:v>
                </c:pt>
                <c:pt idx="16">
                  <c:v>72.699332056623518</c:v>
                </c:pt>
                <c:pt idx="17">
                  <c:v>77.665007533449113</c:v>
                </c:pt>
                <c:pt idx="18">
                  <c:v>77.595446637182519</c:v>
                </c:pt>
                <c:pt idx="19">
                  <c:v>73.040409369902179</c:v>
                </c:pt>
                <c:pt idx="20">
                  <c:v>67.937781839659721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5-2A48-B5F6-557DD4E8D822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Frec'!$K$32:$K$52</c:f>
              <c:numCache>
                <c:formatCode>0.00</c:formatCode>
                <c:ptCount val="21"/>
                <c:pt idx="0">
                  <c:v>72.580992649035821</c:v>
                </c:pt>
                <c:pt idx="1">
                  <c:v>71.905257505111976</c:v>
                </c:pt>
                <c:pt idx="2">
                  <c:v>77.840966341663915</c:v>
                </c:pt>
                <c:pt idx="3">
                  <c:v>79.538320718644727</c:v>
                </c:pt>
                <c:pt idx="4">
                  <c:v>81.348044994595327</c:v>
                </c:pt>
                <c:pt idx="5">
                  <c:v>80.031559252827577</c:v>
                </c:pt>
                <c:pt idx="6">
                  <c:v>85.638231802163958</c:v>
                </c:pt>
                <c:pt idx="7">
                  <c:v>81.41171588684989</c:v>
                </c:pt>
                <c:pt idx="8">
                  <c:v>81.287866833484742</c:v>
                </c:pt>
                <c:pt idx="9">
                  <c:v>78.533883814474905</c:v>
                </c:pt>
                <c:pt idx="10">
                  <c:v>76.456645845037414</c:v>
                </c:pt>
                <c:pt idx="11">
                  <c:v>76.177490482543035</c:v>
                </c:pt>
                <c:pt idx="12">
                  <c:v>75.030072151949852</c:v>
                </c:pt>
                <c:pt idx="13">
                  <c:v>73.366796592797485</c:v>
                </c:pt>
                <c:pt idx="14">
                  <c:v>70.402580332135628</c:v>
                </c:pt>
                <c:pt idx="15">
                  <c:v>69.289933257829745</c:v>
                </c:pt>
                <c:pt idx="16">
                  <c:v>69.642013103102215</c:v>
                </c:pt>
                <c:pt idx="17">
                  <c:v>73.97921477817691</c:v>
                </c:pt>
                <c:pt idx="18">
                  <c:v>73.862869808664996</c:v>
                </c:pt>
                <c:pt idx="19">
                  <c:v>69.365799793966644</c:v>
                </c:pt>
                <c:pt idx="20">
                  <c:v>65.427338142820446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5-2A48-B5F6-557DD4E8D822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Frec'!$C$32:$C$52</c:f>
              <c:numCache>
                <c:formatCode>0.00</c:formatCode>
                <c:ptCount val="21"/>
                <c:pt idx="0">
                  <c:v>28.254371115550903</c:v>
                </c:pt>
                <c:pt idx="1">
                  <c:v>20.958510761675626</c:v>
                </c:pt>
                <c:pt idx="2">
                  <c:v>20.581794400146041</c:v>
                </c:pt>
                <c:pt idx="3">
                  <c:v>21.080927309782609</c:v>
                </c:pt>
                <c:pt idx="4">
                  <c:v>21.410328520668877</c:v>
                </c:pt>
                <c:pt idx="5">
                  <c:v>20.707785774544242</c:v>
                </c:pt>
                <c:pt idx="6">
                  <c:v>20.671427330533088</c:v>
                </c:pt>
                <c:pt idx="7">
                  <c:v>20.990640870614904</c:v>
                </c:pt>
                <c:pt idx="8">
                  <c:v>20.802814847605241</c:v>
                </c:pt>
                <c:pt idx="9">
                  <c:v>21.34892895832154</c:v>
                </c:pt>
                <c:pt idx="10">
                  <c:v>21.626016778070568</c:v>
                </c:pt>
                <c:pt idx="11">
                  <c:v>22.256093413357572</c:v>
                </c:pt>
                <c:pt idx="12">
                  <c:v>22.648568699325342</c:v>
                </c:pt>
                <c:pt idx="13">
                  <c:v>23.166978794595469</c:v>
                </c:pt>
                <c:pt idx="14">
                  <c:v>23.928737329400104</c:v>
                </c:pt>
                <c:pt idx="15">
                  <c:v>24.551068043363266</c:v>
                </c:pt>
                <c:pt idx="16">
                  <c:v>25.51529498491886</c:v>
                </c:pt>
                <c:pt idx="17">
                  <c:v>26.36517041662465</c:v>
                </c:pt>
                <c:pt idx="18">
                  <c:v>26.968118914083583</c:v>
                </c:pt>
                <c:pt idx="19">
                  <c:v>28.001040560035889</c:v>
                </c:pt>
                <c:pt idx="20">
                  <c:v>28.912661262180496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5-2A48-B5F6-557DD4E8D822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Frec'!$P$32:$P$52</c:f>
              <c:numCache>
                <c:formatCode>0.00</c:formatCode>
                <c:ptCount val="21"/>
                <c:pt idx="0">
                  <c:v>69.577585923807703</c:v>
                </c:pt>
                <c:pt idx="1">
                  <c:v>57.506203658680498</c:v>
                </c:pt>
                <c:pt idx="2">
                  <c:v>71.877005167333792</c:v>
                </c:pt>
                <c:pt idx="3">
                  <c:v>71.512278400899788</c:v>
                </c:pt>
                <c:pt idx="4">
                  <c:v>71.386758187877817</c:v>
                </c:pt>
                <c:pt idx="5">
                  <c:v>87.156858001825015</c:v>
                </c:pt>
                <c:pt idx="6">
                  <c:v>89.502060523957809</c:v>
                </c:pt>
                <c:pt idx="7">
                  <c:v>89.336040388042036</c:v>
                </c:pt>
                <c:pt idx="8">
                  <c:v>86.697974244904614</c:v>
                </c:pt>
                <c:pt idx="9">
                  <c:v>84.015156314400215</c:v>
                </c:pt>
                <c:pt idx="10">
                  <c:v>79.713752050363524</c:v>
                </c:pt>
                <c:pt idx="11">
                  <c:v>79.222846136346973</c:v>
                </c:pt>
                <c:pt idx="12">
                  <c:v>76.649410276811835</c:v>
                </c:pt>
                <c:pt idx="13">
                  <c:v>75.589278391558864</c:v>
                </c:pt>
                <c:pt idx="14">
                  <c:v>74.598128670522016</c:v>
                </c:pt>
                <c:pt idx="15">
                  <c:v>73.848110148208676</c:v>
                </c:pt>
                <c:pt idx="16">
                  <c:v>74.415051877271992</c:v>
                </c:pt>
                <c:pt idx="17">
                  <c:v>77.470998684263051</c:v>
                </c:pt>
                <c:pt idx="18">
                  <c:v>77.823327604808739</c:v>
                </c:pt>
                <c:pt idx="19">
                  <c:v>72.922943166000309</c:v>
                </c:pt>
                <c:pt idx="20">
                  <c:v>68.540454124769781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C5-2A48-B5F6-557DD4E8D822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Frec'!$Q$32:$Q$52</c:f>
              <c:numCache>
                <c:formatCode>0.00</c:formatCode>
                <c:ptCount val="21"/>
                <c:pt idx="0">
                  <c:v>57.868792752839582</c:v>
                </c:pt>
                <c:pt idx="1">
                  <c:v>64.390547584084899</c:v>
                </c:pt>
                <c:pt idx="2">
                  <c:v>78.684240721208553</c:v>
                </c:pt>
                <c:pt idx="3">
                  <c:v>77.412630866555602</c:v>
                </c:pt>
                <c:pt idx="4">
                  <c:v>75.338724263026549</c:v>
                </c:pt>
                <c:pt idx="5">
                  <c:v>86.709399641351865</c:v>
                </c:pt>
                <c:pt idx="6">
                  <c:v>87.979554728267317</c:v>
                </c:pt>
                <c:pt idx="7">
                  <c:v>89.135719212454234</c:v>
                </c:pt>
                <c:pt idx="8">
                  <c:v>88.715708680125744</c:v>
                </c:pt>
                <c:pt idx="9">
                  <c:v>85.163059487967161</c:v>
                </c:pt>
                <c:pt idx="10">
                  <c:v>79.778202281278723</c:v>
                </c:pt>
                <c:pt idx="11">
                  <c:v>80.186580296033242</c:v>
                </c:pt>
                <c:pt idx="12">
                  <c:v>78.713848939204354</c:v>
                </c:pt>
                <c:pt idx="13">
                  <c:v>76.468249174403965</c:v>
                </c:pt>
                <c:pt idx="14">
                  <c:v>75.92319040461328</c:v>
                </c:pt>
                <c:pt idx="15">
                  <c:v>73.904786061064343</c:v>
                </c:pt>
                <c:pt idx="16">
                  <c:v>74.406046807652857</c:v>
                </c:pt>
                <c:pt idx="17">
                  <c:v>78.197784669937633</c:v>
                </c:pt>
                <c:pt idx="18">
                  <c:v>77.604501148781239</c:v>
                </c:pt>
                <c:pt idx="19">
                  <c:v>72.707411460225003</c:v>
                </c:pt>
                <c:pt idx="20">
                  <c:v>69.271480111514819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C5-2A48-B5F6-557DD4E8D822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Frec'!$R$32:$R$52</c:f>
              <c:numCache>
                <c:formatCode>0.00</c:formatCode>
                <c:ptCount val="21"/>
                <c:pt idx="0">
                  <c:v>73.089658779404971</c:v>
                </c:pt>
                <c:pt idx="1">
                  <c:v>69.440966979716123</c:v>
                </c:pt>
                <c:pt idx="2">
                  <c:v>77.007555420979273</c:v>
                </c:pt>
                <c:pt idx="3">
                  <c:v>73.025628076136627</c:v>
                </c:pt>
                <c:pt idx="4">
                  <c:v>71.852697040165012</c:v>
                </c:pt>
                <c:pt idx="5">
                  <c:v>86.492400418117256</c:v>
                </c:pt>
                <c:pt idx="6">
                  <c:v>90.688100636751173</c:v>
                </c:pt>
                <c:pt idx="7">
                  <c:v>93.724913148265031</c:v>
                </c:pt>
                <c:pt idx="8">
                  <c:v>86.326230442902585</c:v>
                </c:pt>
                <c:pt idx="9">
                  <c:v>84.153329572044271</c:v>
                </c:pt>
                <c:pt idx="10">
                  <c:v>81.37723579443454</c:v>
                </c:pt>
                <c:pt idx="11">
                  <c:v>79.1320830373608</c:v>
                </c:pt>
                <c:pt idx="12">
                  <c:v>77.955278369070129</c:v>
                </c:pt>
                <c:pt idx="13">
                  <c:v>75.717461586916414</c:v>
                </c:pt>
                <c:pt idx="14">
                  <c:v>74.65327649671832</c:v>
                </c:pt>
                <c:pt idx="15">
                  <c:v>74.041422597024166</c:v>
                </c:pt>
                <c:pt idx="16">
                  <c:v>74.248713694362252</c:v>
                </c:pt>
                <c:pt idx="17">
                  <c:v>77.958643945394741</c:v>
                </c:pt>
                <c:pt idx="18">
                  <c:v>78.187541825824113</c:v>
                </c:pt>
                <c:pt idx="19">
                  <c:v>72.8535290700639</c:v>
                </c:pt>
                <c:pt idx="20">
                  <c:v>68.3132004797516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C5-2A48-B5F6-557DD4E8D822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Frec'!$S$32:$S$52</c:f>
              <c:numCache>
                <c:formatCode>0.00</c:formatCode>
                <c:ptCount val="21"/>
                <c:pt idx="0">
                  <c:v>74.370988504318959</c:v>
                </c:pt>
                <c:pt idx="1">
                  <c:v>57.751129600888206</c:v>
                </c:pt>
                <c:pt idx="2">
                  <c:v>78.704069700695214</c:v>
                </c:pt>
                <c:pt idx="3">
                  <c:v>76.215222654796776</c:v>
                </c:pt>
                <c:pt idx="4">
                  <c:v>74.02930512201219</c:v>
                </c:pt>
                <c:pt idx="5">
                  <c:v>90.298661295572913</c:v>
                </c:pt>
                <c:pt idx="6">
                  <c:v>89.723884357270734</c:v>
                </c:pt>
                <c:pt idx="7">
                  <c:v>95.050279170445037</c:v>
                </c:pt>
                <c:pt idx="8">
                  <c:v>86.371459575834734</c:v>
                </c:pt>
                <c:pt idx="9">
                  <c:v>86.964862242199132</c:v>
                </c:pt>
                <c:pt idx="10">
                  <c:v>84.667244349888392</c:v>
                </c:pt>
                <c:pt idx="11">
                  <c:v>81.481990240187869</c:v>
                </c:pt>
                <c:pt idx="12">
                  <c:v>80.868830428350535</c:v>
                </c:pt>
                <c:pt idx="13">
                  <c:v>80.603040357317241</c:v>
                </c:pt>
                <c:pt idx="14">
                  <c:v>77.346406373523536</c:v>
                </c:pt>
                <c:pt idx="15">
                  <c:v>75.115850713820691</c:v>
                </c:pt>
                <c:pt idx="16">
                  <c:v>76.215660102480939</c:v>
                </c:pt>
                <c:pt idx="17">
                  <c:v>79.312020241873611</c:v>
                </c:pt>
                <c:pt idx="18">
                  <c:v>79.502942228771388</c:v>
                </c:pt>
                <c:pt idx="19">
                  <c:v>75.273584151495072</c:v>
                </c:pt>
                <c:pt idx="20">
                  <c:v>71.182481238955546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C5-2A48-B5F6-557DD4E8D822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Frec'!$T$32:$T$52</c:f>
              <c:numCache>
                <c:formatCode>0.00</c:formatCode>
                <c:ptCount val="21"/>
                <c:pt idx="0">
                  <c:v>67.560379395471159</c:v>
                </c:pt>
                <c:pt idx="1">
                  <c:v>65.381736035755438</c:v>
                </c:pt>
                <c:pt idx="2">
                  <c:v>75.002937103947048</c:v>
                </c:pt>
                <c:pt idx="3">
                  <c:v>74.913360867394744</c:v>
                </c:pt>
                <c:pt idx="4">
                  <c:v>75.702756975337337</c:v>
                </c:pt>
                <c:pt idx="5">
                  <c:v>89.352867478929653</c:v>
                </c:pt>
                <c:pt idx="6">
                  <c:v>88.395363911398334</c:v>
                </c:pt>
                <c:pt idx="7">
                  <c:v>93.726895535187268</c:v>
                </c:pt>
                <c:pt idx="8">
                  <c:v>89.340914134226594</c:v>
                </c:pt>
                <c:pt idx="9">
                  <c:v>87.122142670588275</c:v>
                </c:pt>
                <c:pt idx="10">
                  <c:v>81.62980966870893</c:v>
                </c:pt>
                <c:pt idx="11">
                  <c:v>78.650361649455419</c:v>
                </c:pt>
                <c:pt idx="12">
                  <c:v>78.812053331626615</c:v>
                </c:pt>
                <c:pt idx="13">
                  <c:v>77.804743703451152</c:v>
                </c:pt>
                <c:pt idx="14">
                  <c:v>75.380782001631204</c:v>
                </c:pt>
                <c:pt idx="15">
                  <c:v>74.746708066791612</c:v>
                </c:pt>
                <c:pt idx="16">
                  <c:v>73.791964768675001</c:v>
                </c:pt>
                <c:pt idx="17">
                  <c:v>78.015939846534465</c:v>
                </c:pt>
                <c:pt idx="18">
                  <c:v>78.518658128578693</c:v>
                </c:pt>
                <c:pt idx="19">
                  <c:v>72.691642687800297</c:v>
                </c:pt>
                <c:pt idx="20">
                  <c:v>69.474103426451407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C5-2A48-B5F6-557DD4E8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9223686752633"/>
          <c:y val="0.3984824147829108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Cocina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Frec'!$P$58:$P$78</c:f>
              <c:numCache>
                <c:formatCode>0.00</c:formatCode>
                <c:ptCount val="21"/>
                <c:pt idx="0">
                  <c:v>58.059202816688256</c:v>
                </c:pt>
                <c:pt idx="1">
                  <c:v>58.252139435395186</c:v>
                </c:pt>
                <c:pt idx="2">
                  <c:v>54.581760852933499</c:v>
                </c:pt>
                <c:pt idx="3">
                  <c:v>57.964835975421941</c:v>
                </c:pt>
                <c:pt idx="4">
                  <c:v>57.823178183340552</c:v>
                </c:pt>
                <c:pt idx="5">
                  <c:v>72.833887189144633</c:v>
                </c:pt>
                <c:pt idx="6">
                  <c:v>66.945986950091239</c:v>
                </c:pt>
                <c:pt idx="7">
                  <c:v>70.699203367804941</c:v>
                </c:pt>
                <c:pt idx="8">
                  <c:v>75.498272352282143</c:v>
                </c:pt>
                <c:pt idx="9">
                  <c:v>71.823199097028123</c:v>
                </c:pt>
                <c:pt idx="10">
                  <c:v>68.42692131093294</c:v>
                </c:pt>
                <c:pt idx="11">
                  <c:v>65.272337513351076</c:v>
                </c:pt>
                <c:pt idx="12">
                  <c:v>62.820728537925191</c:v>
                </c:pt>
                <c:pt idx="13">
                  <c:v>60.622494255668428</c:v>
                </c:pt>
                <c:pt idx="14">
                  <c:v>57.999453358600299</c:v>
                </c:pt>
                <c:pt idx="15">
                  <c:v>56.793611967484232</c:v>
                </c:pt>
                <c:pt idx="16">
                  <c:v>54.613408245663777</c:v>
                </c:pt>
                <c:pt idx="17">
                  <c:v>56.314311574687288</c:v>
                </c:pt>
                <c:pt idx="18">
                  <c:v>57.214231405793541</c:v>
                </c:pt>
                <c:pt idx="19">
                  <c:v>52.564226747579966</c:v>
                </c:pt>
                <c:pt idx="20">
                  <c:v>46.727679701786059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1-3C4C-A82F-A62A4A596AD6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Frec'!$Q$58:$Q$78</c:f>
              <c:numCache>
                <c:formatCode>0.00</c:formatCode>
                <c:ptCount val="21"/>
                <c:pt idx="0">
                  <c:v>51.839983904532836</c:v>
                </c:pt>
                <c:pt idx="1">
                  <c:v>58.723824485523281</c:v>
                </c:pt>
                <c:pt idx="2">
                  <c:v>65.037968419271223</c:v>
                </c:pt>
                <c:pt idx="3">
                  <c:v>58.187994461424616</c:v>
                </c:pt>
                <c:pt idx="4">
                  <c:v>55.574418738698277</c:v>
                </c:pt>
                <c:pt idx="5">
                  <c:v>73.143189630097751</c:v>
                </c:pt>
                <c:pt idx="6">
                  <c:v>66.410217515133212</c:v>
                </c:pt>
                <c:pt idx="7">
                  <c:v>70.417693420118127</c:v>
                </c:pt>
                <c:pt idx="8">
                  <c:v>72.408174753873539</c:v>
                </c:pt>
                <c:pt idx="9">
                  <c:v>72.801519125614433</c:v>
                </c:pt>
                <c:pt idx="10">
                  <c:v>67.735312700043451</c:v>
                </c:pt>
                <c:pt idx="11">
                  <c:v>67.405553067586069</c:v>
                </c:pt>
                <c:pt idx="12">
                  <c:v>64.256330948241015</c:v>
                </c:pt>
                <c:pt idx="13">
                  <c:v>59.234130512584336</c:v>
                </c:pt>
                <c:pt idx="14">
                  <c:v>57.469275187077137</c:v>
                </c:pt>
                <c:pt idx="15">
                  <c:v>55.183840475128029</c:v>
                </c:pt>
                <c:pt idx="16">
                  <c:v>54.029445761356627</c:v>
                </c:pt>
                <c:pt idx="17">
                  <c:v>57.685248288241297</c:v>
                </c:pt>
                <c:pt idx="18">
                  <c:v>57.69061453422291</c:v>
                </c:pt>
                <c:pt idx="19">
                  <c:v>53.229062243739953</c:v>
                </c:pt>
                <c:pt idx="20">
                  <c:v>48.62261327716152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1-3C4C-A82F-A62A4A596AD6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Frec'!$R$58:$R$78</c:f>
              <c:numCache>
                <c:formatCode>0.00</c:formatCode>
                <c:ptCount val="21"/>
                <c:pt idx="0">
                  <c:v>62.53906313700319</c:v>
                </c:pt>
                <c:pt idx="1">
                  <c:v>61.753420666861217</c:v>
                </c:pt>
                <c:pt idx="2">
                  <c:v>65.12557509673077</c:v>
                </c:pt>
                <c:pt idx="3">
                  <c:v>58.694426095417043</c:v>
                </c:pt>
                <c:pt idx="4">
                  <c:v>58.312962669328627</c:v>
                </c:pt>
                <c:pt idx="5">
                  <c:v>68.536543503832675</c:v>
                </c:pt>
                <c:pt idx="6">
                  <c:v>63.166372394378719</c:v>
                </c:pt>
                <c:pt idx="7">
                  <c:v>68.720285272872843</c:v>
                </c:pt>
                <c:pt idx="8">
                  <c:v>73.577175499152773</c:v>
                </c:pt>
                <c:pt idx="9">
                  <c:v>68.499388996790557</c:v>
                </c:pt>
                <c:pt idx="10">
                  <c:v>67.795603856472965</c:v>
                </c:pt>
                <c:pt idx="11">
                  <c:v>68.389992975685274</c:v>
                </c:pt>
                <c:pt idx="12">
                  <c:v>64.247704159961785</c:v>
                </c:pt>
                <c:pt idx="13">
                  <c:v>60.51955846541216</c:v>
                </c:pt>
                <c:pt idx="14">
                  <c:v>58.78028227134309</c:v>
                </c:pt>
                <c:pt idx="15">
                  <c:v>55.265561438796617</c:v>
                </c:pt>
                <c:pt idx="16">
                  <c:v>54.142888250369253</c:v>
                </c:pt>
                <c:pt idx="17">
                  <c:v>56.148718656367855</c:v>
                </c:pt>
                <c:pt idx="18">
                  <c:v>56.710577776244413</c:v>
                </c:pt>
                <c:pt idx="19">
                  <c:v>52.447128823073491</c:v>
                </c:pt>
                <c:pt idx="20">
                  <c:v>47.97803707086193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1-3C4C-A82F-A62A4A596AD6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Frec'!$S$58:$S$78</c:f>
              <c:numCache>
                <c:formatCode>0.00</c:formatCode>
                <c:ptCount val="21"/>
                <c:pt idx="0">
                  <c:v>63.995732064412827</c:v>
                </c:pt>
                <c:pt idx="1">
                  <c:v>60.33866054210884</c:v>
                </c:pt>
                <c:pt idx="2">
                  <c:v>63.779289934165689</c:v>
                </c:pt>
                <c:pt idx="3">
                  <c:v>56.686009362857774</c:v>
                </c:pt>
                <c:pt idx="4">
                  <c:v>56.274867602757048</c:v>
                </c:pt>
                <c:pt idx="5">
                  <c:v>77.198029219874087</c:v>
                </c:pt>
                <c:pt idx="6">
                  <c:v>66.98956445009091</c:v>
                </c:pt>
                <c:pt idx="7">
                  <c:v>73.279791703095313</c:v>
                </c:pt>
                <c:pt idx="8">
                  <c:v>74.381606230864648</c:v>
                </c:pt>
                <c:pt idx="9">
                  <c:v>69.578481792022828</c:v>
                </c:pt>
                <c:pt idx="10">
                  <c:v>69.254591886601389</c:v>
                </c:pt>
                <c:pt idx="11">
                  <c:v>67.087870763535662</c:v>
                </c:pt>
                <c:pt idx="12">
                  <c:v>62.640708124315417</c:v>
                </c:pt>
                <c:pt idx="13">
                  <c:v>61.881884412875969</c:v>
                </c:pt>
                <c:pt idx="14">
                  <c:v>57.791434310117744</c:v>
                </c:pt>
                <c:pt idx="15">
                  <c:v>56.321056656855873</c:v>
                </c:pt>
                <c:pt idx="16">
                  <c:v>55.986724474255183</c:v>
                </c:pt>
                <c:pt idx="17">
                  <c:v>57.94213275099353</c:v>
                </c:pt>
                <c:pt idx="18">
                  <c:v>60.171847516505416</c:v>
                </c:pt>
                <c:pt idx="19">
                  <c:v>56.196495081927324</c:v>
                </c:pt>
                <c:pt idx="20">
                  <c:v>51.518404268389965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31-3C4C-A82F-A62A4A596AD6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Frec'!$T$58:$T$78</c:f>
              <c:numCache>
                <c:formatCode>0.00</c:formatCode>
                <c:ptCount val="21"/>
                <c:pt idx="0">
                  <c:v>57.222826824096089</c:v>
                </c:pt>
                <c:pt idx="1">
                  <c:v>56.304466582957097</c:v>
                </c:pt>
                <c:pt idx="2">
                  <c:v>58.062060897016295</c:v>
                </c:pt>
                <c:pt idx="3">
                  <c:v>59.551285523492936</c:v>
                </c:pt>
                <c:pt idx="4">
                  <c:v>56.552715835939857</c:v>
                </c:pt>
                <c:pt idx="5">
                  <c:v>75.556177472837888</c:v>
                </c:pt>
                <c:pt idx="6">
                  <c:v>70.444917024621645</c:v>
                </c:pt>
                <c:pt idx="7">
                  <c:v>73.66371058957013</c:v>
                </c:pt>
                <c:pt idx="8">
                  <c:v>76.229364220070948</c:v>
                </c:pt>
                <c:pt idx="9">
                  <c:v>71.660882162932609</c:v>
                </c:pt>
                <c:pt idx="10">
                  <c:v>69.470511837282046</c:v>
                </c:pt>
                <c:pt idx="11">
                  <c:v>66.874240967386584</c:v>
                </c:pt>
                <c:pt idx="12">
                  <c:v>64.223141553206148</c:v>
                </c:pt>
                <c:pt idx="13">
                  <c:v>61.072857861357612</c:v>
                </c:pt>
                <c:pt idx="14">
                  <c:v>58.530213390110774</c:v>
                </c:pt>
                <c:pt idx="15">
                  <c:v>55.632801741447999</c:v>
                </c:pt>
                <c:pt idx="16">
                  <c:v>54.567901725584761</c:v>
                </c:pt>
                <c:pt idx="17">
                  <c:v>57.53677148496471</c:v>
                </c:pt>
                <c:pt idx="18">
                  <c:v>57.7945751282328</c:v>
                </c:pt>
                <c:pt idx="19">
                  <c:v>53.129347542288222</c:v>
                </c:pt>
                <c:pt idx="20">
                  <c:v>48.72538256069312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31-3C4C-A82F-A62A4A596AD6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Frec'!$C$58:$C$78</c:f>
              <c:numCache>
                <c:formatCode>0.00</c:formatCode>
                <c:ptCount val="21"/>
                <c:pt idx="0">
                  <c:v>30.472388961003034</c:v>
                </c:pt>
                <c:pt idx="1">
                  <c:v>22.267898348691833</c:v>
                </c:pt>
                <c:pt idx="2">
                  <c:v>20.676143210844369</c:v>
                </c:pt>
                <c:pt idx="3">
                  <c:v>21.030046320328751</c:v>
                </c:pt>
                <c:pt idx="4">
                  <c:v>20.736984988381497</c:v>
                </c:pt>
                <c:pt idx="5">
                  <c:v>22.40073432125012</c:v>
                </c:pt>
                <c:pt idx="6">
                  <c:v>21.568157594720653</c:v>
                </c:pt>
                <c:pt idx="7">
                  <c:v>21.298982481751899</c:v>
                </c:pt>
                <c:pt idx="8">
                  <c:v>21.225326991317296</c:v>
                </c:pt>
                <c:pt idx="9">
                  <c:v>21.294076292165961</c:v>
                </c:pt>
                <c:pt idx="10">
                  <c:v>21.8937600034036</c:v>
                </c:pt>
                <c:pt idx="11">
                  <c:v>22.332684398353166</c:v>
                </c:pt>
                <c:pt idx="12">
                  <c:v>22.657495194404696</c:v>
                </c:pt>
                <c:pt idx="13">
                  <c:v>23.237675766478016</c:v>
                </c:pt>
                <c:pt idx="14">
                  <c:v>23.947819154779246</c:v>
                </c:pt>
                <c:pt idx="15">
                  <c:v>24.566846696457059</c:v>
                </c:pt>
                <c:pt idx="16">
                  <c:v>25.430607861811573</c:v>
                </c:pt>
                <c:pt idx="17">
                  <c:v>26.375993667787188</c:v>
                </c:pt>
                <c:pt idx="18">
                  <c:v>26.94540861862065</c:v>
                </c:pt>
                <c:pt idx="19">
                  <c:v>28.007041962626744</c:v>
                </c:pt>
                <c:pt idx="20">
                  <c:v>28.928048955331935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31-3C4C-A82F-A62A4A596AD6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Frec'!$P$58:$P$78</c:f>
              <c:numCache>
                <c:formatCode>0.00</c:formatCode>
                <c:ptCount val="21"/>
                <c:pt idx="0">
                  <c:v>58.059202816688256</c:v>
                </c:pt>
                <c:pt idx="1">
                  <c:v>58.252139435395186</c:v>
                </c:pt>
                <c:pt idx="2">
                  <c:v>54.581760852933499</c:v>
                </c:pt>
                <c:pt idx="3">
                  <c:v>57.964835975421941</c:v>
                </c:pt>
                <c:pt idx="4">
                  <c:v>57.823178183340552</c:v>
                </c:pt>
                <c:pt idx="5">
                  <c:v>72.833887189144633</c:v>
                </c:pt>
                <c:pt idx="6">
                  <c:v>66.945986950091239</c:v>
                </c:pt>
                <c:pt idx="7">
                  <c:v>70.699203367804941</c:v>
                </c:pt>
                <c:pt idx="8">
                  <c:v>75.498272352282143</c:v>
                </c:pt>
                <c:pt idx="9">
                  <c:v>71.823199097028123</c:v>
                </c:pt>
                <c:pt idx="10">
                  <c:v>68.42692131093294</c:v>
                </c:pt>
                <c:pt idx="11">
                  <c:v>65.272337513351076</c:v>
                </c:pt>
                <c:pt idx="12">
                  <c:v>62.820728537925191</c:v>
                </c:pt>
                <c:pt idx="13">
                  <c:v>60.622494255668428</c:v>
                </c:pt>
                <c:pt idx="14">
                  <c:v>57.999453358600299</c:v>
                </c:pt>
                <c:pt idx="15">
                  <c:v>56.793611967484232</c:v>
                </c:pt>
                <c:pt idx="16">
                  <c:v>54.613408245663777</c:v>
                </c:pt>
                <c:pt idx="17">
                  <c:v>56.314311574687288</c:v>
                </c:pt>
                <c:pt idx="18">
                  <c:v>57.214231405793541</c:v>
                </c:pt>
                <c:pt idx="19">
                  <c:v>52.564226747579966</c:v>
                </c:pt>
                <c:pt idx="20">
                  <c:v>46.727679701786059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31-3C4C-A82F-A62A4A596AD6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''1º Alta Frec'!$E$6:$E$26</c:v>
              </c:pt>
            </c:strLit>
          </c:xVal>
          <c:yVal>
            <c:numRef>
              <c:f>'1º Alta Frec'!$Q$6:$Q$26</c:f>
              <c:numCache>
                <c:formatCode>0.00</c:formatCode>
                <c:ptCount val="21"/>
                <c:pt idx="0">
                  <c:v>46.526660543631287</c:v>
                </c:pt>
                <c:pt idx="1">
                  <c:v>42.494247036623541</c:v>
                </c:pt>
                <c:pt idx="2">
                  <c:v>50.319312353838328</c:v>
                </c:pt>
                <c:pt idx="3">
                  <c:v>47.47168920859491</c:v>
                </c:pt>
                <c:pt idx="4">
                  <c:v>59.461361724241492</c:v>
                </c:pt>
                <c:pt idx="5">
                  <c:v>62.426854949923353</c:v>
                </c:pt>
                <c:pt idx="6">
                  <c:v>60.45438259823711</c:v>
                </c:pt>
                <c:pt idx="7">
                  <c:v>59.347670973270944</c:v>
                </c:pt>
                <c:pt idx="8">
                  <c:v>62.593729799839181</c:v>
                </c:pt>
                <c:pt idx="9">
                  <c:v>59.54741896470243</c:v>
                </c:pt>
                <c:pt idx="10">
                  <c:v>57.296832200278992</c:v>
                </c:pt>
                <c:pt idx="11">
                  <c:v>51.42319912071541</c:v>
                </c:pt>
                <c:pt idx="12">
                  <c:v>49.049187749760087</c:v>
                </c:pt>
                <c:pt idx="13">
                  <c:v>47.559063635854798</c:v>
                </c:pt>
                <c:pt idx="14">
                  <c:v>46.315230220909434</c:v>
                </c:pt>
                <c:pt idx="15">
                  <c:v>45.224184020606629</c:v>
                </c:pt>
                <c:pt idx="16">
                  <c:v>44.936277047003415</c:v>
                </c:pt>
                <c:pt idx="17">
                  <c:v>50.443251760199381</c:v>
                </c:pt>
                <c:pt idx="18">
                  <c:v>51.826432428907673</c:v>
                </c:pt>
                <c:pt idx="19">
                  <c:v>46.843600155770396</c:v>
                </c:pt>
                <c:pt idx="20">
                  <c:v>40.445147153564008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31-3C4C-A82F-A62A4A596AD6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Frec'!$R$58:$R$78</c:f>
              <c:numCache>
                <c:formatCode>0.00</c:formatCode>
                <c:ptCount val="21"/>
                <c:pt idx="0">
                  <c:v>62.53906313700319</c:v>
                </c:pt>
                <c:pt idx="1">
                  <c:v>61.753420666861217</c:v>
                </c:pt>
                <c:pt idx="2">
                  <c:v>65.12557509673077</c:v>
                </c:pt>
                <c:pt idx="3">
                  <c:v>58.694426095417043</c:v>
                </c:pt>
                <c:pt idx="4">
                  <c:v>58.312962669328627</c:v>
                </c:pt>
                <c:pt idx="5">
                  <c:v>68.536543503832675</c:v>
                </c:pt>
                <c:pt idx="6">
                  <c:v>63.166372394378719</c:v>
                </c:pt>
                <c:pt idx="7">
                  <c:v>68.720285272872843</c:v>
                </c:pt>
                <c:pt idx="8">
                  <c:v>73.577175499152773</c:v>
                </c:pt>
                <c:pt idx="9">
                  <c:v>68.499388996790557</c:v>
                </c:pt>
                <c:pt idx="10">
                  <c:v>67.795603856472965</c:v>
                </c:pt>
                <c:pt idx="11">
                  <c:v>68.389992975685274</c:v>
                </c:pt>
                <c:pt idx="12">
                  <c:v>64.247704159961785</c:v>
                </c:pt>
                <c:pt idx="13">
                  <c:v>60.51955846541216</c:v>
                </c:pt>
                <c:pt idx="14">
                  <c:v>58.78028227134309</c:v>
                </c:pt>
                <c:pt idx="15">
                  <c:v>55.265561438796617</c:v>
                </c:pt>
                <c:pt idx="16">
                  <c:v>54.142888250369253</c:v>
                </c:pt>
                <c:pt idx="17">
                  <c:v>56.148718656367855</c:v>
                </c:pt>
                <c:pt idx="18">
                  <c:v>56.710577776244413</c:v>
                </c:pt>
                <c:pt idx="19">
                  <c:v>52.447128823073491</c:v>
                </c:pt>
                <c:pt idx="20">
                  <c:v>47.97803707086193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31-3C4C-A82F-A62A4A596AD6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Frec'!$S$58:$S$78</c:f>
              <c:numCache>
                <c:formatCode>0.00</c:formatCode>
                <c:ptCount val="21"/>
                <c:pt idx="0">
                  <c:v>63.995732064412827</c:v>
                </c:pt>
                <c:pt idx="1">
                  <c:v>60.33866054210884</c:v>
                </c:pt>
                <c:pt idx="2">
                  <c:v>63.779289934165689</c:v>
                </c:pt>
                <c:pt idx="3">
                  <c:v>56.686009362857774</c:v>
                </c:pt>
                <c:pt idx="4">
                  <c:v>56.274867602757048</c:v>
                </c:pt>
                <c:pt idx="5">
                  <c:v>77.198029219874087</c:v>
                </c:pt>
                <c:pt idx="6">
                  <c:v>66.98956445009091</c:v>
                </c:pt>
                <c:pt idx="7">
                  <c:v>73.279791703095313</c:v>
                </c:pt>
                <c:pt idx="8">
                  <c:v>74.381606230864648</c:v>
                </c:pt>
                <c:pt idx="9">
                  <c:v>69.578481792022828</c:v>
                </c:pt>
                <c:pt idx="10">
                  <c:v>69.254591886601389</c:v>
                </c:pt>
                <c:pt idx="11">
                  <c:v>67.087870763535662</c:v>
                </c:pt>
                <c:pt idx="12">
                  <c:v>62.640708124315417</c:v>
                </c:pt>
                <c:pt idx="13">
                  <c:v>61.881884412875969</c:v>
                </c:pt>
                <c:pt idx="14">
                  <c:v>57.791434310117744</c:v>
                </c:pt>
                <c:pt idx="15">
                  <c:v>56.321056656855873</c:v>
                </c:pt>
                <c:pt idx="16">
                  <c:v>55.986724474255183</c:v>
                </c:pt>
                <c:pt idx="17">
                  <c:v>57.94213275099353</c:v>
                </c:pt>
                <c:pt idx="18">
                  <c:v>60.171847516505416</c:v>
                </c:pt>
                <c:pt idx="19">
                  <c:v>56.196495081927324</c:v>
                </c:pt>
                <c:pt idx="20">
                  <c:v>51.518404268389965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31-3C4C-A82F-A62A4A596AD6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Frec'!$T$58:$T$78</c:f>
              <c:numCache>
                <c:formatCode>0.00</c:formatCode>
                <c:ptCount val="21"/>
                <c:pt idx="0">
                  <c:v>57.222826824096089</c:v>
                </c:pt>
                <c:pt idx="1">
                  <c:v>56.304466582957097</c:v>
                </c:pt>
                <c:pt idx="2">
                  <c:v>58.062060897016295</c:v>
                </c:pt>
                <c:pt idx="3">
                  <c:v>59.551285523492936</c:v>
                </c:pt>
                <c:pt idx="4">
                  <c:v>56.552715835939857</c:v>
                </c:pt>
                <c:pt idx="5">
                  <c:v>75.556177472837888</c:v>
                </c:pt>
                <c:pt idx="6">
                  <c:v>70.444917024621645</c:v>
                </c:pt>
                <c:pt idx="7">
                  <c:v>73.66371058957013</c:v>
                </c:pt>
                <c:pt idx="8">
                  <c:v>76.229364220070948</c:v>
                </c:pt>
                <c:pt idx="9">
                  <c:v>71.660882162932609</c:v>
                </c:pt>
                <c:pt idx="10">
                  <c:v>69.470511837282046</c:v>
                </c:pt>
                <c:pt idx="11">
                  <c:v>66.874240967386584</c:v>
                </c:pt>
                <c:pt idx="12">
                  <c:v>64.223141553206148</c:v>
                </c:pt>
                <c:pt idx="13">
                  <c:v>61.072857861357612</c:v>
                </c:pt>
                <c:pt idx="14">
                  <c:v>58.530213390110774</c:v>
                </c:pt>
                <c:pt idx="15">
                  <c:v>55.632801741447999</c:v>
                </c:pt>
                <c:pt idx="16">
                  <c:v>54.567901725584761</c:v>
                </c:pt>
                <c:pt idx="17">
                  <c:v>57.53677148496471</c:v>
                </c:pt>
                <c:pt idx="18">
                  <c:v>57.7945751282328</c:v>
                </c:pt>
                <c:pt idx="19">
                  <c:v>53.129347542288222</c:v>
                </c:pt>
                <c:pt idx="20">
                  <c:v>48.72538256069312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31-3C4C-A82F-A62A4A59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9223805827528"/>
          <c:y val="0.1105391608296339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Salón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Frec'!$G$84:$G$104</c:f>
              <c:numCache>
                <c:formatCode>0.00</c:formatCode>
                <c:ptCount val="21"/>
                <c:pt idx="0">
                  <c:v>55.844960441416745</c:v>
                </c:pt>
                <c:pt idx="1">
                  <c:v>59.286043702207536</c:v>
                </c:pt>
                <c:pt idx="2">
                  <c:v>61.030821640567005</c:v>
                </c:pt>
                <c:pt idx="3">
                  <c:v>58.608966538269598</c:v>
                </c:pt>
                <c:pt idx="4">
                  <c:v>65.409254052520339</c:v>
                </c:pt>
                <c:pt idx="5">
                  <c:v>68.883424663975234</c:v>
                </c:pt>
                <c:pt idx="6">
                  <c:v>67.087948786187496</c:v>
                </c:pt>
                <c:pt idx="7">
                  <c:v>68.652257323804491</c:v>
                </c:pt>
                <c:pt idx="8">
                  <c:v>72.768477375151349</c:v>
                </c:pt>
                <c:pt idx="9">
                  <c:v>68.694986222556267</c:v>
                </c:pt>
                <c:pt idx="10">
                  <c:v>68.061705515934875</c:v>
                </c:pt>
                <c:pt idx="11">
                  <c:v>66.172279379486497</c:v>
                </c:pt>
                <c:pt idx="12">
                  <c:v>64.231090286738194</c:v>
                </c:pt>
                <c:pt idx="13">
                  <c:v>61.665774712195763</c:v>
                </c:pt>
                <c:pt idx="14">
                  <c:v>56.91369941331682</c:v>
                </c:pt>
                <c:pt idx="15">
                  <c:v>53.739543996785024</c:v>
                </c:pt>
                <c:pt idx="16">
                  <c:v>52.737170573273396</c:v>
                </c:pt>
                <c:pt idx="17">
                  <c:v>54.442888864025271</c:v>
                </c:pt>
                <c:pt idx="18">
                  <c:v>54.894410439745876</c:v>
                </c:pt>
                <c:pt idx="19">
                  <c:v>48.27461858896109</c:v>
                </c:pt>
                <c:pt idx="20">
                  <c:v>43.644966703734248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6-8D4E-BC20-C6BD04EFF764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Frec'!$H$84:$H$104</c:f>
              <c:numCache>
                <c:formatCode>0.00</c:formatCode>
                <c:ptCount val="21"/>
                <c:pt idx="0">
                  <c:v>50.03272891467131</c:v>
                </c:pt>
                <c:pt idx="1">
                  <c:v>55.985070979444288</c:v>
                </c:pt>
                <c:pt idx="2">
                  <c:v>66.908479507059994</c:v>
                </c:pt>
                <c:pt idx="3">
                  <c:v>58.45263168238386</c:v>
                </c:pt>
                <c:pt idx="4">
                  <c:v>65.414697048332116</c:v>
                </c:pt>
                <c:pt idx="5">
                  <c:v>70.964276963246022</c:v>
                </c:pt>
                <c:pt idx="6">
                  <c:v>69.827463463891917</c:v>
                </c:pt>
                <c:pt idx="7">
                  <c:v>70.984884653212148</c:v>
                </c:pt>
                <c:pt idx="8">
                  <c:v>76.689452980138086</c:v>
                </c:pt>
                <c:pt idx="9">
                  <c:v>69.087528885467137</c:v>
                </c:pt>
                <c:pt idx="10">
                  <c:v>67.340023040771484</c:v>
                </c:pt>
                <c:pt idx="11">
                  <c:v>68.734103181090532</c:v>
                </c:pt>
                <c:pt idx="12">
                  <c:v>64.996712566327446</c:v>
                </c:pt>
                <c:pt idx="13">
                  <c:v>60.268167766136457</c:v>
                </c:pt>
                <c:pt idx="14">
                  <c:v>57.150348750247232</c:v>
                </c:pt>
                <c:pt idx="15">
                  <c:v>55.419191761258283</c:v>
                </c:pt>
                <c:pt idx="16">
                  <c:v>52.5929276092143</c:v>
                </c:pt>
                <c:pt idx="17">
                  <c:v>54.908573966690255</c:v>
                </c:pt>
                <c:pt idx="18">
                  <c:v>55.155030562002445</c:v>
                </c:pt>
                <c:pt idx="19">
                  <c:v>48.442255478871019</c:v>
                </c:pt>
                <c:pt idx="20">
                  <c:v>44.761103270325478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6-8D4E-BC20-C6BD04EFF764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Frec'!$I$84:$I$104</c:f>
              <c:numCache>
                <c:formatCode>0.00</c:formatCode>
                <c:ptCount val="21"/>
                <c:pt idx="0">
                  <c:v>60.526902940538193</c:v>
                </c:pt>
                <c:pt idx="1">
                  <c:v>53.699958417568986</c:v>
                </c:pt>
                <c:pt idx="2">
                  <c:v>62.906982488799514</c:v>
                </c:pt>
                <c:pt idx="3">
                  <c:v>61.068032926146749</c:v>
                </c:pt>
                <c:pt idx="4">
                  <c:v>68.735696924220747</c:v>
                </c:pt>
                <c:pt idx="5">
                  <c:v>70.517915692245751</c:v>
                </c:pt>
                <c:pt idx="6">
                  <c:v>67.635294743588091</c:v>
                </c:pt>
                <c:pt idx="7">
                  <c:v>67.217594815973655</c:v>
                </c:pt>
                <c:pt idx="8">
                  <c:v>70.411698663722703</c:v>
                </c:pt>
                <c:pt idx="9">
                  <c:v>72.199991255196906</c:v>
                </c:pt>
                <c:pt idx="10">
                  <c:v>69.096469410678793</c:v>
                </c:pt>
                <c:pt idx="11">
                  <c:v>68.841999665198969</c:v>
                </c:pt>
                <c:pt idx="12">
                  <c:v>66.352428396124594</c:v>
                </c:pt>
                <c:pt idx="13">
                  <c:v>62.653301350554528</c:v>
                </c:pt>
                <c:pt idx="14">
                  <c:v>59.474553613495409</c:v>
                </c:pt>
                <c:pt idx="15">
                  <c:v>55.311027169924728</c:v>
                </c:pt>
                <c:pt idx="16">
                  <c:v>52.905904053805166</c:v>
                </c:pt>
                <c:pt idx="17">
                  <c:v>56.399443834985206</c:v>
                </c:pt>
                <c:pt idx="18">
                  <c:v>56.14096158568622</c:v>
                </c:pt>
                <c:pt idx="19">
                  <c:v>49.652662221451251</c:v>
                </c:pt>
                <c:pt idx="20">
                  <c:v>44.557522707933572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6-8D4E-BC20-C6BD04EFF764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Frec'!$J$84:$J$104</c:f>
              <c:numCache>
                <c:formatCode>0.00</c:formatCode>
                <c:ptCount val="21"/>
                <c:pt idx="0">
                  <c:v>67.031155402671558</c:v>
                </c:pt>
                <c:pt idx="1">
                  <c:v>57.056400943809834</c:v>
                </c:pt>
                <c:pt idx="2">
                  <c:v>65.956000225085049</c:v>
                </c:pt>
                <c:pt idx="3">
                  <c:v>56.67149292583197</c:v>
                </c:pt>
                <c:pt idx="4">
                  <c:v>67.567091440370945</c:v>
                </c:pt>
                <c:pt idx="5">
                  <c:v>72.954772689532788</c:v>
                </c:pt>
                <c:pt idx="6">
                  <c:v>64.506182500454187</c:v>
                </c:pt>
                <c:pt idx="7">
                  <c:v>69.54776634968502</c:v>
                </c:pt>
                <c:pt idx="8">
                  <c:v>74.732519910928787</c:v>
                </c:pt>
                <c:pt idx="9">
                  <c:v>69.241149678476546</c:v>
                </c:pt>
                <c:pt idx="10">
                  <c:v>66.649671567997459</c:v>
                </c:pt>
                <c:pt idx="11">
                  <c:v>68.764913899238124</c:v>
                </c:pt>
                <c:pt idx="12">
                  <c:v>64.941600029457348</c:v>
                </c:pt>
                <c:pt idx="13">
                  <c:v>60.661283327380254</c:v>
                </c:pt>
                <c:pt idx="14">
                  <c:v>56.616447663642994</c:v>
                </c:pt>
                <c:pt idx="15">
                  <c:v>55.372358447509193</c:v>
                </c:pt>
                <c:pt idx="16">
                  <c:v>53.328518182459014</c:v>
                </c:pt>
                <c:pt idx="17">
                  <c:v>57.938895807579648</c:v>
                </c:pt>
                <c:pt idx="18">
                  <c:v>58.966805153609442</c:v>
                </c:pt>
                <c:pt idx="19">
                  <c:v>51.721378465213689</c:v>
                </c:pt>
                <c:pt idx="20">
                  <c:v>46.301244650648236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6-8D4E-BC20-C6BD04EFF764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Frec'!$K$84:$K$104</c:f>
              <c:numCache>
                <c:formatCode>0.00</c:formatCode>
                <c:ptCount val="21"/>
                <c:pt idx="0">
                  <c:v>62.157538228895554</c:v>
                </c:pt>
                <c:pt idx="1">
                  <c:v>53.724964748040499</c:v>
                </c:pt>
                <c:pt idx="2">
                  <c:v>63.385439228659727</c:v>
                </c:pt>
                <c:pt idx="3">
                  <c:v>59.605451724586096</c:v>
                </c:pt>
                <c:pt idx="4">
                  <c:v>67.768913260383044</c:v>
                </c:pt>
                <c:pt idx="5">
                  <c:v>70.438381294657503</c:v>
                </c:pt>
                <c:pt idx="6">
                  <c:v>66.977909958457303</c:v>
                </c:pt>
                <c:pt idx="7">
                  <c:v>70.515499682215363</c:v>
                </c:pt>
                <c:pt idx="8">
                  <c:v>72.379574701003946</c:v>
                </c:pt>
                <c:pt idx="9">
                  <c:v>68.983455974046265</c:v>
                </c:pt>
                <c:pt idx="10">
                  <c:v>68.448421768378992</c:v>
                </c:pt>
                <c:pt idx="11">
                  <c:v>65.585919413745202</c:v>
                </c:pt>
                <c:pt idx="12">
                  <c:v>64.52158354413902</c:v>
                </c:pt>
                <c:pt idx="13">
                  <c:v>60.055371521550327</c:v>
                </c:pt>
                <c:pt idx="14">
                  <c:v>56.552138572112653</c:v>
                </c:pt>
                <c:pt idx="15">
                  <c:v>53.85016414282947</c:v>
                </c:pt>
                <c:pt idx="16">
                  <c:v>51.336771160736255</c:v>
                </c:pt>
                <c:pt idx="17">
                  <c:v>54.129003531275217</c:v>
                </c:pt>
                <c:pt idx="18">
                  <c:v>55.599963786788749</c:v>
                </c:pt>
                <c:pt idx="19">
                  <c:v>48.257346834145935</c:v>
                </c:pt>
                <c:pt idx="20">
                  <c:v>43.346927166526356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6-8D4E-BC20-C6BD04EFF764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Frec'!$C$84:$C$104</c:f>
              <c:numCache>
                <c:formatCode>0.00</c:formatCode>
                <c:ptCount val="21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  <c:pt idx="3">
                  <c:v>20.926107463060561</c:v>
                </c:pt>
                <c:pt idx="4">
                  <c:v>19.237478460836353</c:v>
                </c:pt>
                <c:pt idx="5">
                  <c:v>23.041133113912824</c:v>
                </c:pt>
                <c:pt idx="6">
                  <c:v>21.681998933728615</c:v>
                </c:pt>
                <c:pt idx="7">
                  <c:v>25.777995447048276</c:v>
                </c:pt>
                <c:pt idx="8">
                  <c:v>24.654969957401072</c:v>
                </c:pt>
                <c:pt idx="9">
                  <c:v>24.688685799350573</c:v>
                </c:pt>
                <c:pt idx="10">
                  <c:v>25.72086424774659</c:v>
                </c:pt>
                <c:pt idx="11">
                  <c:v>25.552571351960321</c:v>
                </c:pt>
                <c:pt idx="12">
                  <c:v>25.194272409384993</c:v>
                </c:pt>
                <c:pt idx="13">
                  <c:v>25.48027170512885</c:v>
                </c:pt>
                <c:pt idx="14">
                  <c:v>25.857837510020754</c:v>
                </c:pt>
                <c:pt idx="15">
                  <c:v>25.148234624897949</c:v>
                </c:pt>
                <c:pt idx="16">
                  <c:v>25.965268263246511</c:v>
                </c:pt>
                <c:pt idx="17">
                  <c:v>26.432142459949347</c:v>
                </c:pt>
                <c:pt idx="18">
                  <c:v>27.119830727724199</c:v>
                </c:pt>
                <c:pt idx="19">
                  <c:v>28.055639217578968</c:v>
                </c:pt>
                <c:pt idx="20">
                  <c:v>29.046637214067978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6-8D4E-BC20-C6BD04EFF764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Frec'!$P$84:$P$104</c:f>
              <c:numCache>
                <c:formatCode>0.00</c:formatCode>
                <c:ptCount val="21"/>
                <c:pt idx="0">
                  <c:v>53.792492413761643</c:v>
                </c:pt>
                <c:pt idx="1">
                  <c:v>59.916291657521668</c:v>
                </c:pt>
                <c:pt idx="2">
                  <c:v>64.13058429294162</c:v>
                </c:pt>
                <c:pt idx="3">
                  <c:v>59.828412095571878</c:v>
                </c:pt>
                <c:pt idx="4">
                  <c:v>58.49391428201421</c:v>
                </c:pt>
                <c:pt idx="5">
                  <c:v>66.577405636291843</c:v>
                </c:pt>
                <c:pt idx="6">
                  <c:v>67.195088721552551</c:v>
                </c:pt>
                <c:pt idx="7">
                  <c:v>71.715234116405483</c:v>
                </c:pt>
                <c:pt idx="8">
                  <c:v>70.585057302489957</c:v>
                </c:pt>
                <c:pt idx="9">
                  <c:v>70.461693109754222</c:v>
                </c:pt>
                <c:pt idx="10">
                  <c:v>66.776011808418929</c:v>
                </c:pt>
                <c:pt idx="11">
                  <c:v>67.006648833235232</c:v>
                </c:pt>
                <c:pt idx="12">
                  <c:v>63.81285959194539</c:v>
                </c:pt>
                <c:pt idx="13">
                  <c:v>61.326354663647656</c:v>
                </c:pt>
                <c:pt idx="14">
                  <c:v>56.048157594554489</c:v>
                </c:pt>
                <c:pt idx="15">
                  <c:v>52.620343881557822</c:v>
                </c:pt>
                <c:pt idx="16">
                  <c:v>50.489604812947455</c:v>
                </c:pt>
                <c:pt idx="17">
                  <c:v>51.927170185127643</c:v>
                </c:pt>
                <c:pt idx="18">
                  <c:v>51.462200567243343</c:v>
                </c:pt>
                <c:pt idx="19">
                  <c:v>45.368569486470335</c:v>
                </c:pt>
                <c:pt idx="20">
                  <c:v>41.78083084140696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6-8D4E-BC20-C6BD04EFF764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Frec'!$E$84:$E$104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Frec'!$Q$84:$Q$104</c:f>
              <c:numCache>
                <c:formatCode>0.00</c:formatCode>
                <c:ptCount val="21"/>
                <c:pt idx="0">
                  <c:v>50.431376459256484</c:v>
                </c:pt>
                <c:pt idx="1">
                  <c:v>59.082748339569285</c:v>
                </c:pt>
                <c:pt idx="2">
                  <c:v>68.630008946649525</c:v>
                </c:pt>
                <c:pt idx="3">
                  <c:v>60.418286705425515</c:v>
                </c:pt>
                <c:pt idx="4">
                  <c:v>58.066509524555734</c:v>
                </c:pt>
                <c:pt idx="5">
                  <c:v>66.380520994198648</c:v>
                </c:pt>
                <c:pt idx="6">
                  <c:v>68.590128859820155</c:v>
                </c:pt>
                <c:pt idx="7">
                  <c:v>70.917424065142683</c:v>
                </c:pt>
                <c:pt idx="8">
                  <c:v>72.758568390023271</c:v>
                </c:pt>
                <c:pt idx="9">
                  <c:v>70.403492839739712</c:v>
                </c:pt>
                <c:pt idx="10">
                  <c:v>70.051560550991937</c:v>
                </c:pt>
                <c:pt idx="11">
                  <c:v>66.862011654218719</c:v>
                </c:pt>
                <c:pt idx="12">
                  <c:v>63.026118023237274</c:v>
                </c:pt>
                <c:pt idx="13">
                  <c:v>60.039539970218243</c:v>
                </c:pt>
                <c:pt idx="14">
                  <c:v>56.17252119092921</c:v>
                </c:pt>
                <c:pt idx="15">
                  <c:v>52.626012140474174</c:v>
                </c:pt>
                <c:pt idx="16">
                  <c:v>50.732495162931194</c:v>
                </c:pt>
                <c:pt idx="17">
                  <c:v>52.91054993165892</c:v>
                </c:pt>
                <c:pt idx="18">
                  <c:v>51.861854140712566</c:v>
                </c:pt>
                <c:pt idx="19">
                  <c:v>46.73267930988581</c:v>
                </c:pt>
                <c:pt idx="20">
                  <c:v>42.541348504305397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6-8D4E-BC20-C6BD04EFF764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Frec'!$R$84:$R$104</c:f>
              <c:numCache>
                <c:formatCode>0.00</c:formatCode>
                <c:ptCount val="21"/>
                <c:pt idx="0">
                  <c:v>57.057034430343116</c:v>
                </c:pt>
                <c:pt idx="1">
                  <c:v>59.505781632326965</c:v>
                </c:pt>
                <c:pt idx="2">
                  <c:v>63.442533283019337</c:v>
                </c:pt>
                <c:pt idx="3">
                  <c:v>60.954534586359948</c:v>
                </c:pt>
                <c:pt idx="4">
                  <c:v>61.551547365510061</c:v>
                </c:pt>
                <c:pt idx="5">
                  <c:v>69.141492303569663</c:v>
                </c:pt>
                <c:pt idx="6">
                  <c:v>68.340863714325295</c:v>
                </c:pt>
                <c:pt idx="7">
                  <c:v>72.971750546573247</c:v>
                </c:pt>
                <c:pt idx="8">
                  <c:v>72.90180030565584</c:v>
                </c:pt>
                <c:pt idx="9">
                  <c:v>70.520841045593954</c:v>
                </c:pt>
                <c:pt idx="10">
                  <c:v>70.988470964753219</c:v>
                </c:pt>
                <c:pt idx="11">
                  <c:v>68.445101564385922</c:v>
                </c:pt>
                <c:pt idx="12">
                  <c:v>66.717856349302139</c:v>
                </c:pt>
                <c:pt idx="13">
                  <c:v>63.254353838288381</c:v>
                </c:pt>
                <c:pt idx="14">
                  <c:v>57.008169049895209</c:v>
                </c:pt>
                <c:pt idx="15">
                  <c:v>55.057667340053598</c:v>
                </c:pt>
                <c:pt idx="16">
                  <c:v>52.335750704133112</c:v>
                </c:pt>
                <c:pt idx="17">
                  <c:v>52.146500778198245</c:v>
                </c:pt>
                <c:pt idx="18">
                  <c:v>51.045509685559217</c:v>
                </c:pt>
                <c:pt idx="19">
                  <c:v>45.114543846216094</c:v>
                </c:pt>
                <c:pt idx="20">
                  <c:v>41.62541635063257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6-8D4E-BC20-C6BD04EFF764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Frec'!$S$84:$S$104</c:f>
              <c:numCache>
                <c:formatCode>0.00</c:formatCode>
                <c:ptCount val="21"/>
                <c:pt idx="0">
                  <c:v>64.83342155205024</c:v>
                </c:pt>
                <c:pt idx="1">
                  <c:v>62.124026724008417</c:v>
                </c:pt>
                <c:pt idx="2">
                  <c:v>70.161566728026003</c:v>
                </c:pt>
                <c:pt idx="3">
                  <c:v>63.770738530420992</c:v>
                </c:pt>
                <c:pt idx="4">
                  <c:v>57.730761693598147</c:v>
                </c:pt>
                <c:pt idx="5">
                  <c:v>69.800135954133751</c:v>
                </c:pt>
                <c:pt idx="6">
                  <c:v>63.62700969570286</c:v>
                </c:pt>
                <c:pt idx="7">
                  <c:v>71.871715654645641</c:v>
                </c:pt>
                <c:pt idx="8">
                  <c:v>71.51721879728548</c:v>
                </c:pt>
                <c:pt idx="9">
                  <c:v>69.650633885310242</c:v>
                </c:pt>
                <c:pt idx="10">
                  <c:v>66.37459231366168</c:v>
                </c:pt>
                <c:pt idx="11">
                  <c:v>64.723350659045551</c:v>
                </c:pt>
                <c:pt idx="12">
                  <c:v>64.604271517743115</c:v>
                </c:pt>
                <c:pt idx="13">
                  <c:v>58.915015205970178</c:v>
                </c:pt>
                <c:pt idx="14">
                  <c:v>57.697533513163471</c:v>
                </c:pt>
                <c:pt idx="15">
                  <c:v>54.026837078555602</c:v>
                </c:pt>
                <c:pt idx="16">
                  <c:v>52.659222273774198</c:v>
                </c:pt>
                <c:pt idx="17">
                  <c:v>53.98143144963862</c:v>
                </c:pt>
                <c:pt idx="18">
                  <c:v>54.434043632758844</c:v>
                </c:pt>
                <c:pt idx="19">
                  <c:v>49.093012748969777</c:v>
                </c:pt>
                <c:pt idx="20">
                  <c:v>43.943162846827242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A6-8D4E-BC20-C6BD04EFF764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Frec'!$T$84:$T$104</c:f>
              <c:numCache>
                <c:formatCode>0.00</c:formatCode>
                <c:ptCount val="21"/>
                <c:pt idx="0">
                  <c:v>61.82764872672066</c:v>
                </c:pt>
                <c:pt idx="1">
                  <c:v>53.040713877904984</c:v>
                </c:pt>
                <c:pt idx="2">
                  <c:v>60.669382171025354</c:v>
                </c:pt>
                <c:pt idx="3">
                  <c:v>60.034381631820921</c:v>
                </c:pt>
                <c:pt idx="4">
                  <c:v>62.445552689688547</c:v>
                </c:pt>
                <c:pt idx="5">
                  <c:v>69.614897860421081</c:v>
                </c:pt>
                <c:pt idx="6">
                  <c:v>69.969931004539362</c:v>
                </c:pt>
                <c:pt idx="7">
                  <c:v>73.361595903124126</c:v>
                </c:pt>
                <c:pt idx="8">
                  <c:v>70.370010050516285</c:v>
                </c:pt>
                <c:pt idx="9">
                  <c:v>71.966856426662872</c:v>
                </c:pt>
                <c:pt idx="10">
                  <c:v>69.185865969884958</c:v>
                </c:pt>
                <c:pt idx="11">
                  <c:v>67.231074204520567</c:v>
                </c:pt>
                <c:pt idx="12">
                  <c:v>64.639953685185262</c:v>
                </c:pt>
                <c:pt idx="13">
                  <c:v>61.024509846218045</c:v>
                </c:pt>
                <c:pt idx="14">
                  <c:v>56.869148663112092</c:v>
                </c:pt>
                <c:pt idx="15">
                  <c:v>55.577453344587298</c:v>
                </c:pt>
                <c:pt idx="16">
                  <c:v>52.473330142006041</c:v>
                </c:pt>
                <c:pt idx="17">
                  <c:v>53.191616959042022</c:v>
                </c:pt>
                <c:pt idx="18">
                  <c:v>52.437261501948036</c:v>
                </c:pt>
                <c:pt idx="19">
                  <c:v>47.621406415152173</c:v>
                </c:pt>
                <c:pt idx="20">
                  <c:v>43.34901003988962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A6-8D4E-BC20-C6BD04EF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5349326473431"/>
          <c:y val="3.8553364404054893E-2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inferior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Frec'!$G$110:$G$130</c:f>
              <c:numCache>
                <c:formatCode>0.00</c:formatCode>
                <c:ptCount val="21"/>
                <c:pt idx="0">
                  <c:v>47.686776595329171</c:v>
                </c:pt>
                <c:pt idx="1">
                  <c:v>34.516979952356706</c:v>
                </c:pt>
                <c:pt idx="2">
                  <c:v>43.547765518302349</c:v>
                </c:pt>
                <c:pt idx="3">
                  <c:v>40.440552352079706</c:v>
                </c:pt>
                <c:pt idx="4">
                  <c:v>43.669164497460891</c:v>
                </c:pt>
                <c:pt idx="5">
                  <c:v>49.856582698537345</c:v>
                </c:pt>
                <c:pt idx="6">
                  <c:v>49.197140049578536</c:v>
                </c:pt>
                <c:pt idx="7">
                  <c:v>46.38404324517321</c:v>
                </c:pt>
                <c:pt idx="8">
                  <c:v>46.119253717251681</c:v>
                </c:pt>
                <c:pt idx="9">
                  <c:v>45.746595083777585</c:v>
                </c:pt>
                <c:pt idx="10">
                  <c:v>43.664276432635177</c:v>
                </c:pt>
                <c:pt idx="11">
                  <c:v>40.138714694265111</c:v>
                </c:pt>
                <c:pt idx="12">
                  <c:v>34.882077393247123</c:v>
                </c:pt>
                <c:pt idx="13">
                  <c:v>33.86019726653597</c:v>
                </c:pt>
                <c:pt idx="14">
                  <c:v>31.629199193484748</c:v>
                </c:pt>
                <c:pt idx="15">
                  <c:v>30.608583594436077</c:v>
                </c:pt>
                <c:pt idx="16">
                  <c:v>29.936311913960015</c:v>
                </c:pt>
                <c:pt idx="17">
                  <c:v>32.231519695538196</c:v>
                </c:pt>
                <c:pt idx="18">
                  <c:v>34.293880209993958</c:v>
                </c:pt>
                <c:pt idx="19">
                  <c:v>30.857711596275443</c:v>
                </c:pt>
                <c:pt idx="20">
                  <c:v>29.665527843717317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A4A-911D-AFCD5A448EB3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Frec'!$H$110:$H$130</c:f>
              <c:numCache>
                <c:formatCode>0.00</c:formatCode>
                <c:ptCount val="21"/>
                <c:pt idx="0">
                  <c:v>37.667957436108424</c:v>
                </c:pt>
                <c:pt idx="1">
                  <c:v>35.085649138646765</c:v>
                </c:pt>
                <c:pt idx="2">
                  <c:v>46.384922876425669</c:v>
                </c:pt>
                <c:pt idx="3">
                  <c:v>40.093932216049083</c:v>
                </c:pt>
                <c:pt idx="4">
                  <c:v>45.064681736290034</c:v>
                </c:pt>
                <c:pt idx="5">
                  <c:v>44.836880876662882</c:v>
                </c:pt>
                <c:pt idx="6">
                  <c:v>48.554852380820201</c:v>
                </c:pt>
                <c:pt idx="7">
                  <c:v>48.352154200804151</c:v>
                </c:pt>
                <c:pt idx="8">
                  <c:v>47.32103318018271</c:v>
                </c:pt>
                <c:pt idx="9">
                  <c:v>47.248245783731448</c:v>
                </c:pt>
                <c:pt idx="10">
                  <c:v>45.477282030362609</c:v>
                </c:pt>
                <c:pt idx="11">
                  <c:v>40.234641031170568</c:v>
                </c:pt>
                <c:pt idx="12">
                  <c:v>34.694387385185728</c:v>
                </c:pt>
                <c:pt idx="13">
                  <c:v>33.280853203847897</c:v>
                </c:pt>
                <c:pt idx="14">
                  <c:v>31.00363559080354</c:v>
                </c:pt>
                <c:pt idx="15">
                  <c:v>30.305509881770359</c:v>
                </c:pt>
                <c:pt idx="16">
                  <c:v>29.223899611344574</c:v>
                </c:pt>
                <c:pt idx="17">
                  <c:v>31.050124971579152</c:v>
                </c:pt>
                <c:pt idx="18">
                  <c:v>33.302722677271419</c:v>
                </c:pt>
                <c:pt idx="19">
                  <c:v>29.862953042307645</c:v>
                </c:pt>
                <c:pt idx="20">
                  <c:v>29.359994734432682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A4A-911D-AFCD5A448EB3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Frec'!$I$110:$I$130</c:f>
              <c:numCache>
                <c:formatCode>0.00</c:formatCode>
                <c:ptCount val="21"/>
                <c:pt idx="0">
                  <c:v>53.592499591481939</c:v>
                </c:pt>
                <c:pt idx="1">
                  <c:v>37.209428820306854</c:v>
                </c:pt>
                <c:pt idx="2">
                  <c:v>53.144419870394962</c:v>
                </c:pt>
                <c:pt idx="3">
                  <c:v>47.866349387490452</c:v>
                </c:pt>
                <c:pt idx="4">
                  <c:v>48.94335843418834</c:v>
                </c:pt>
                <c:pt idx="5">
                  <c:v>52.650815357362603</c:v>
                </c:pt>
                <c:pt idx="6">
                  <c:v>46.149956238292773</c:v>
                </c:pt>
                <c:pt idx="7">
                  <c:v>46.765037095615632</c:v>
                </c:pt>
                <c:pt idx="8">
                  <c:v>47.796637981613245</c:v>
                </c:pt>
                <c:pt idx="9">
                  <c:v>47.31865305891386</c:v>
                </c:pt>
                <c:pt idx="10">
                  <c:v>43.729847468852078</c:v>
                </c:pt>
                <c:pt idx="11">
                  <c:v>39.179974432855211</c:v>
                </c:pt>
                <c:pt idx="12">
                  <c:v>35.698718642453464</c:v>
                </c:pt>
                <c:pt idx="13">
                  <c:v>32.614597193767572</c:v>
                </c:pt>
                <c:pt idx="14">
                  <c:v>31.550903448939092</c:v>
                </c:pt>
                <c:pt idx="15">
                  <c:v>31.002540823581821</c:v>
                </c:pt>
                <c:pt idx="16">
                  <c:v>31.111046713900706</c:v>
                </c:pt>
                <c:pt idx="17">
                  <c:v>34.790471178029087</c:v>
                </c:pt>
                <c:pt idx="18">
                  <c:v>37.103116265151769</c:v>
                </c:pt>
                <c:pt idx="19">
                  <c:v>33.315223609321606</c:v>
                </c:pt>
                <c:pt idx="20">
                  <c:v>30.563504450583043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0-4A4A-911D-AFCD5A448EB3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Frec'!$J$110:$J$130</c:f>
              <c:numCache>
                <c:formatCode>0.00</c:formatCode>
                <c:ptCount val="21"/>
                <c:pt idx="0">
                  <c:v>54.589536551969594</c:v>
                </c:pt>
                <c:pt idx="1">
                  <c:v>38.740785904567034</c:v>
                </c:pt>
                <c:pt idx="2">
                  <c:v>45.013008393437026</c:v>
                </c:pt>
                <c:pt idx="3">
                  <c:v>39.937776132465181</c:v>
                </c:pt>
                <c:pt idx="4">
                  <c:v>44.020417847160502</c:v>
                </c:pt>
                <c:pt idx="5">
                  <c:v>46.836867755822723</c:v>
                </c:pt>
                <c:pt idx="6">
                  <c:v>47.231949906088445</c:v>
                </c:pt>
                <c:pt idx="7">
                  <c:v>49.785343792396525</c:v>
                </c:pt>
                <c:pt idx="8">
                  <c:v>48.833889067670171</c:v>
                </c:pt>
                <c:pt idx="9">
                  <c:v>49.996833263888639</c:v>
                </c:pt>
                <c:pt idx="10">
                  <c:v>44.045591352602415</c:v>
                </c:pt>
                <c:pt idx="11">
                  <c:v>39.059790027042141</c:v>
                </c:pt>
                <c:pt idx="12">
                  <c:v>35.781894111102993</c:v>
                </c:pt>
                <c:pt idx="13">
                  <c:v>32.474585788574785</c:v>
                </c:pt>
                <c:pt idx="14">
                  <c:v>31.388432607924749</c:v>
                </c:pt>
                <c:pt idx="15">
                  <c:v>31.202999641764926</c:v>
                </c:pt>
                <c:pt idx="16">
                  <c:v>29.481998565574838</c:v>
                </c:pt>
                <c:pt idx="17">
                  <c:v>32.175951785351856</c:v>
                </c:pt>
                <c:pt idx="18">
                  <c:v>34.344327733956412</c:v>
                </c:pt>
                <c:pt idx="19">
                  <c:v>30.979768031830034</c:v>
                </c:pt>
                <c:pt idx="20">
                  <c:v>29.670801123830319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0-4A4A-911D-AFCD5A448EB3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Frec'!$K$110:$K$130</c:f>
              <c:numCache>
                <c:formatCode>0.00</c:formatCode>
                <c:ptCount val="21"/>
                <c:pt idx="0">
                  <c:v>45.810425315746997</c:v>
                </c:pt>
                <c:pt idx="1">
                  <c:v>36.1071615191738</c:v>
                </c:pt>
                <c:pt idx="2">
                  <c:v>45.473574788946898</c:v>
                </c:pt>
                <c:pt idx="3">
                  <c:v>40.2882660350161</c:v>
                </c:pt>
                <c:pt idx="4">
                  <c:v>44.913541959917701</c:v>
                </c:pt>
                <c:pt idx="5">
                  <c:v>50.1847932879434</c:v>
                </c:pt>
                <c:pt idx="6">
                  <c:v>49.852374523108097</c:v>
                </c:pt>
                <c:pt idx="7">
                  <c:v>47.600968064299998</c:v>
                </c:pt>
                <c:pt idx="8">
                  <c:v>47.9324555684505</c:v>
                </c:pt>
                <c:pt idx="9">
                  <c:v>48.359957429438701</c:v>
                </c:pt>
                <c:pt idx="10">
                  <c:v>44.619534141138999</c:v>
                </c:pt>
                <c:pt idx="11">
                  <c:v>40.113702421781497</c:v>
                </c:pt>
                <c:pt idx="12">
                  <c:v>34.866004520398</c:v>
                </c:pt>
                <c:pt idx="13">
                  <c:v>34.715227848034701</c:v>
                </c:pt>
                <c:pt idx="14">
                  <c:v>31.344964570399998</c:v>
                </c:pt>
                <c:pt idx="15">
                  <c:v>30.475523767060601</c:v>
                </c:pt>
                <c:pt idx="16">
                  <c:v>29.411988983880001</c:v>
                </c:pt>
                <c:pt idx="17">
                  <c:v>32.231999999999999</c:v>
                </c:pt>
                <c:pt idx="18">
                  <c:v>33.291150033759997</c:v>
                </c:pt>
                <c:pt idx="19">
                  <c:v>30.496679015821002</c:v>
                </c:pt>
                <c:pt idx="20">
                  <c:v>30.297795199999999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A0-4A4A-911D-AFCD5A448EB3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Frec'!$C$110:$C$130</c:f>
              <c:numCache>
                <c:formatCode>0.00</c:formatCode>
                <c:ptCount val="21"/>
                <c:pt idx="0">
                  <c:v>28.431945418000002</c:v>
                </c:pt>
                <c:pt idx="1">
                  <c:v>22.058936862420001</c:v>
                </c:pt>
                <c:pt idx="2">
                  <c:v>19.9661818936953</c:v>
                </c:pt>
                <c:pt idx="3">
                  <c:v>20.111462289528141</c:v>
                </c:pt>
                <c:pt idx="4">
                  <c:v>19.830534385260499</c:v>
                </c:pt>
                <c:pt idx="5">
                  <c:v>22.548548216807799</c:v>
                </c:pt>
                <c:pt idx="6">
                  <c:v>20.544889454850001</c:v>
                </c:pt>
                <c:pt idx="7">
                  <c:v>21.121295919000001</c:v>
                </c:pt>
                <c:pt idx="8">
                  <c:v>21.4036585346499</c:v>
                </c:pt>
                <c:pt idx="9">
                  <c:v>21.201757605512039</c:v>
                </c:pt>
                <c:pt idx="10">
                  <c:v>21.712608980355704</c:v>
                </c:pt>
                <c:pt idx="11">
                  <c:v>22.420569111530046</c:v>
                </c:pt>
                <c:pt idx="12">
                  <c:v>23.830878852901598</c:v>
                </c:pt>
                <c:pt idx="13">
                  <c:v>23.145730824099999</c:v>
                </c:pt>
                <c:pt idx="14">
                  <c:v>24.82551266854</c:v>
                </c:pt>
                <c:pt idx="15">
                  <c:v>24.246064000000001</c:v>
                </c:pt>
                <c:pt idx="16">
                  <c:v>25.646910767806204</c:v>
                </c:pt>
                <c:pt idx="17">
                  <c:v>26.413129658328561</c:v>
                </c:pt>
                <c:pt idx="18">
                  <c:v>27.764226774819999</c:v>
                </c:pt>
                <c:pt idx="19">
                  <c:v>28.148194425386894</c:v>
                </c:pt>
                <c:pt idx="20">
                  <c:v>29.0160207939626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A0-4A4A-911D-AFCD5A448EB3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Frec'!$P$110:$P$130</c:f>
              <c:numCache>
                <c:formatCode>0.00</c:formatCode>
                <c:ptCount val="21"/>
                <c:pt idx="0">
                  <c:v>43.6961125745893</c:v>
                </c:pt>
                <c:pt idx="1">
                  <c:v>41.015482722000002</c:v>
                </c:pt>
                <c:pt idx="2">
                  <c:v>45.770224261999999</c:v>
                </c:pt>
                <c:pt idx="3">
                  <c:v>49.333216504879999</c:v>
                </c:pt>
                <c:pt idx="4">
                  <c:v>46.418503710000003</c:v>
                </c:pt>
                <c:pt idx="5">
                  <c:v>47.23137173648</c:v>
                </c:pt>
                <c:pt idx="6">
                  <c:v>48.474540747399999</c:v>
                </c:pt>
                <c:pt idx="7">
                  <c:v>48.424177836360002</c:v>
                </c:pt>
                <c:pt idx="8">
                  <c:v>49.025640000000003</c:v>
                </c:pt>
                <c:pt idx="9">
                  <c:v>45.379249447200003</c:v>
                </c:pt>
                <c:pt idx="10">
                  <c:v>41.073362101199997</c:v>
                </c:pt>
                <c:pt idx="11">
                  <c:v>37.768346707100001</c:v>
                </c:pt>
                <c:pt idx="12">
                  <c:v>34.826915999999997</c:v>
                </c:pt>
                <c:pt idx="13">
                  <c:v>32.103658079799999</c:v>
                </c:pt>
                <c:pt idx="14">
                  <c:v>29.342353223</c:v>
                </c:pt>
                <c:pt idx="15">
                  <c:v>30.593311778804001</c:v>
                </c:pt>
                <c:pt idx="16">
                  <c:v>27.92109660973</c:v>
                </c:pt>
                <c:pt idx="17">
                  <c:v>30.2260898764</c:v>
                </c:pt>
                <c:pt idx="18">
                  <c:v>31.66411879356</c:v>
                </c:pt>
                <c:pt idx="19">
                  <c:v>30.010079944200001</c:v>
                </c:pt>
                <c:pt idx="20">
                  <c:v>29.449954081830001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A0-4A4A-911D-AFCD5A448EB3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Frec'!$E$110:$E$130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Frec'!$Q$110:$Q$130</c:f>
              <c:numCache>
                <c:formatCode>0.00</c:formatCode>
                <c:ptCount val="21"/>
                <c:pt idx="0">
                  <c:v>42.696112574589336</c:v>
                </c:pt>
                <c:pt idx="1">
                  <c:v>42.555501548272197</c:v>
                </c:pt>
                <c:pt idx="2">
                  <c:v>46.440677022426193</c:v>
                </c:pt>
                <c:pt idx="3">
                  <c:v>50.34933216504875</c:v>
                </c:pt>
                <c:pt idx="4">
                  <c:v>44.283214185037089</c:v>
                </c:pt>
                <c:pt idx="5">
                  <c:v>44.992313717364802</c:v>
                </c:pt>
                <c:pt idx="6">
                  <c:v>47.178474540747381</c:v>
                </c:pt>
                <c:pt idx="7">
                  <c:v>47.344241778363561</c:v>
                </c:pt>
                <c:pt idx="8">
                  <c:v>47.296763402564018</c:v>
                </c:pt>
                <c:pt idx="9">
                  <c:v>46.453792494471976</c:v>
                </c:pt>
                <c:pt idx="10">
                  <c:v>41.339073362101196</c:v>
                </c:pt>
                <c:pt idx="11">
                  <c:v>38.122768346707105</c:v>
                </c:pt>
                <c:pt idx="12">
                  <c:v>34.172304282691563</c:v>
                </c:pt>
                <c:pt idx="13">
                  <c:v>34.093103658079755</c:v>
                </c:pt>
                <c:pt idx="14">
                  <c:v>30.527234235322258</c:v>
                </c:pt>
                <c:pt idx="15">
                  <c:v>29.759331177880433</c:v>
                </c:pt>
                <c:pt idx="16">
                  <c:v>28.869210966097306</c:v>
                </c:pt>
                <c:pt idx="17">
                  <c:v>31.399226089876365</c:v>
                </c:pt>
                <c:pt idx="18">
                  <c:v>32.336641187935577</c:v>
                </c:pt>
                <c:pt idx="19">
                  <c:v>29.327010079944237</c:v>
                </c:pt>
                <c:pt idx="20">
                  <c:v>29.23449954081828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A0-4A4A-911D-AFCD5A448EB3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Frec'!$R$110:$R$130</c:f>
              <c:numCache>
                <c:formatCode>0.00</c:formatCode>
                <c:ptCount val="21"/>
                <c:pt idx="0">
                  <c:v>53.323372266126341</c:v>
                </c:pt>
                <c:pt idx="1">
                  <c:v>43.929565247514759</c:v>
                </c:pt>
                <c:pt idx="2">
                  <c:v>52.659493986492286</c:v>
                </c:pt>
                <c:pt idx="3">
                  <c:v>55.175745926704877</c:v>
                </c:pt>
                <c:pt idx="4">
                  <c:v>48.658535251417042</c:v>
                </c:pt>
                <c:pt idx="5">
                  <c:v>52.925270732744828</c:v>
                </c:pt>
                <c:pt idx="6">
                  <c:v>52.671948284451574</c:v>
                </c:pt>
                <c:pt idx="7">
                  <c:v>45.855430118447842</c:v>
                </c:pt>
                <c:pt idx="8">
                  <c:v>49.854637980347263</c:v>
                </c:pt>
                <c:pt idx="9">
                  <c:v>44.029323435786118</c:v>
                </c:pt>
                <c:pt idx="10">
                  <c:v>42.294245307288399</c:v>
                </c:pt>
                <c:pt idx="11">
                  <c:v>42.540409966207392</c:v>
                </c:pt>
                <c:pt idx="12">
                  <c:v>34.057442882796529</c:v>
                </c:pt>
                <c:pt idx="13">
                  <c:v>32.835450313608192</c:v>
                </c:pt>
                <c:pt idx="14">
                  <c:v>31.173124628513339</c:v>
                </c:pt>
                <c:pt idx="15">
                  <c:v>31.212210856513284</c:v>
                </c:pt>
                <c:pt idx="16">
                  <c:v>30.105267587568836</c:v>
                </c:pt>
                <c:pt idx="17">
                  <c:v>32.501741596939688</c:v>
                </c:pt>
                <c:pt idx="18">
                  <c:v>33.919443529451478</c:v>
                </c:pt>
                <c:pt idx="19">
                  <c:v>30.376373178068523</c:v>
                </c:pt>
                <c:pt idx="20">
                  <c:v>29.510421479670573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A0-4A4A-911D-AFCD5A448EB3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Frec'!$S$110:$S$130</c:f>
              <c:numCache>
                <c:formatCode>0.00</c:formatCode>
                <c:ptCount val="21"/>
                <c:pt idx="0">
                  <c:v>53.569751009894809</c:v>
                </c:pt>
                <c:pt idx="1">
                  <c:v>47.780341757616952</c:v>
                </c:pt>
                <c:pt idx="2">
                  <c:v>44.07729071459724</c:v>
                </c:pt>
                <c:pt idx="3">
                  <c:v>43.953334015781437</c:v>
                </c:pt>
                <c:pt idx="4">
                  <c:v>48.279019490954944</c:v>
                </c:pt>
                <c:pt idx="5">
                  <c:v>48.999664173311402</c:v>
                </c:pt>
                <c:pt idx="6">
                  <c:v>51.244709385251539</c:v>
                </c:pt>
                <c:pt idx="7">
                  <c:v>52.076042760460119</c:v>
                </c:pt>
                <c:pt idx="8">
                  <c:v>50.684732263065079</c:v>
                </c:pt>
                <c:pt idx="9">
                  <c:v>46.715450053539094</c:v>
                </c:pt>
                <c:pt idx="10">
                  <c:v>43.261465628170271</c:v>
                </c:pt>
                <c:pt idx="11">
                  <c:v>40.471438828255366</c:v>
                </c:pt>
                <c:pt idx="12">
                  <c:v>33.776126894904571</c:v>
                </c:pt>
                <c:pt idx="13">
                  <c:v>32.477744883935429</c:v>
                </c:pt>
                <c:pt idx="14">
                  <c:v>30.843717634330677</c:v>
                </c:pt>
                <c:pt idx="15">
                  <c:v>29.737811962609154</c:v>
                </c:pt>
                <c:pt idx="16">
                  <c:v>29.403203188331382</c:v>
                </c:pt>
                <c:pt idx="17">
                  <c:v>30.684311031600803</c:v>
                </c:pt>
                <c:pt idx="18">
                  <c:v>31.777349029466944</c:v>
                </c:pt>
                <c:pt idx="19">
                  <c:v>29.122741973284377</c:v>
                </c:pt>
                <c:pt idx="20">
                  <c:v>29.300081356752266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A0-4A4A-911D-AFCD5A448EB3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Frec'!$T$110:$T$130</c:f>
              <c:numCache>
                <c:formatCode>0.00</c:formatCode>
                <c:ptCount val="21"/>
                <c:pt idx="0">
                  <c:v>43.85327848493165</c:v>
                </c:pt>
                <c:pt idx="1">
                  <c:v>40.876989919592397</c:v>
                </c:pt>
                <c:pt idx="2">
                  <c:v>47.779530363262822</c:v>
                </c:pt>
                <c:pt idx="3">
                  <c:v>48.494942344051843</c:v>
                </c:pt>
                <c:pt idx="4">
                  <c:v>46.58019232726263</c:v>
                </c:pt>
                <c:pt idx="5">
                  <c:v>49.935749118354138</c:v>
                </c:pt>
                <c:pt idx="6">
                  <c:v>49.59768388098496</c:v>
                </c:pt>
                <c:pt idx="7">
                  <c:v>49.631548494189353</c:v>
                </c:pt>
                <c:pt idx="8">
                  <c:v>48.10710220564205</c:v>
                </c:pt>
                <c:pt idx="9">
                  <c:v>44.069432539878321</c:v>
                </c:pt>
                <c:pt idx="10">
                  <c:v>40.917712403859021</c:v>
                </c:pt>
                <c:pt idx="11">
                  <c:v>37.48166231081526</c:v>
                </c:pt>
                <c:pt idx="12">
                  <c:v>35.075102274799065</c:v>
                </c:pt>
                <c:pt idx="13">
                  <c:v>31.746637181468611</c:v>
                </c:pt>
                <c:pt idx="14">
                  <c:v>30.072315121359953</c:v>
                </c:pt>
                <c:pt idx="15">
                  <c:v>29.831323773290336</c:v>
                </c:pt>
                <c:pt idx="16">
                  <c:v>29.074443906160901</c:v>
                </c:pt>
                <c:pt idx="17">
                  <c:v>30.350345223283814</c:v>
                </c:pt>
                <c:pt idx="18">
                  <c:v>31.372012934831545</c:v>
                </c:pt>
                <c:pt idx="19">
                  <c:v>29.101989787763731</c:v>
                </c:pt>
                <c:pt idx="20">
                  <c:v>29.243134520378227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A0-4A4A-911D-AFCD5A44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9223805827528"/>
          <c:y val="0.1105391608296339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de reverberación</a:t>
            </a:r>
          </a:p>
        </c:rich>
      </c:tx>
      <c:layout>
        <c:manualLayout>
          <c:xMode val="edge"/>
          <c:yMode val="edge"/>
          <c:x val="0.3885254789092592"/>
          <c:y val="2.1323699921253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90387597483328941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Datos!$D$164</c:f>
              <c:strCache>
                <c:ptCount val="1"/>
                <c:pt idx="0">
                  <c:v>Tiempo de reverberación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Datos!$D$165:$D$185</c:f>
              <c:numCache>
                <c:formatCode>0.00</c:formatCode>
                <c:ptCount val="21"/>
                <c:pt idx="0">
                  <c:v>1.29</c:v>
                </c:pt>
                <c:pt idx="1">
                  <c:v>0.53</c:v>
                </c:pt>
                <c:pt idx="2">
                  <c:v>0.52</c:v>
                </c:pt>
                <c:pt idx="3">
                  <c:v>0.93</c:v>
                </c:pt>
                <c:pt idx="4">
                  <c:v>0.6</c:v>
                </c:pt>
                <c:pt idx="5">
                  <c:v>0.56000000000000005</c:v>
                </c:pt>
                <c:pt idx="6">
                  <c:v>0.44</c:v>
                </c:pt>
                <c:pt idx="7">
                  <c:v>0.52</c:v>
                </c:pt>
                <c:pt idx="8">
                  <c:v>0.55000000000000004</c:v>
                </c:pt>
                <c:pt idx="9">
                  <c:v>0.43</c:v>
                </c:pt>
                <c:pt idx="10">
                  <c:v>0.38</c:v>
                </c:pt>
                <c:pt idx="11">
                  <c:v>0.41</c:v>
                </c:pt>
                <c:pt idx="12">
                  <c:v>0.44</c:v>
                </c:pt>
                <c:pt idx="13">
                  <c:v>0.5</c:v>
                </c:pt>
                <c:pt idx="14">
                  <c:v>0.44</c:v>
                </c:pt>
                <c:pt idx="15">
                  <c:v>0.45</c:v>
                </c:pt>
                <c:pt idx="16">
                  <c:v>0.43</c:v>
                </c:pt>
                <c:pt idx="17">
                  <c:v>0.43</c:v>
                </c:pt>
                <c:pt idx="18">
                  <c:v>0.41</c:v>
                </c:pt>
                <c:pt idx="19">
                  <c:v>0.4</c:v>
                </c:pt>
                <c:pt idx="2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A-AC46-A8F7-39FCE973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50"/>
                  <a:t>Frecuencia</a:t>
                </a:r>
                <a:r>
                  <a:rPr lang="es-ES_tradnl" sz="1050" baseline="0"/>
                  <a:t> (Hz)</a:t>
                </a:r>
                <a:endParaRPr lang="es-ES_tradnl" sz="1050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50"/>
                  <a:t>Tiempo de reverberación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90964422531974"/>
          <c:y val="0.26743567442582744"/>
          <c:w val="0.1817320492405857"/>
          <c:h val="0.30443768698010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superior - Emisor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11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Frec'!$G$136:$G$156</c:f>
              <c:numCache>
                <c:formatCode>0.00</c:formatCode>
                <c:ptCount val="21"/>
                <c:pt idx="0">
                  <c:v>87.181794776770346</c:v>
                </c:pt>
                <c:pt idx="1">
                  <c:v>92.844971828533772</c:v>
                </c:pt>
                <c:pt idx="2">
                  <c:v>89.722451359832874</c:v>
                </c:pt>
                <c:pt idx="3">
                  <c:v>80.836505414882382</c:v>
                </c:pt>
                <c:pt idx="4">
                  <c:v>92.125066128727127</c:v>
                </c:pt>
                <c:pt idx="5">
                  <c:v>97.975730742531255</c:v>
                </c:pt>
                <c:pt idx="6">
                  <c:v>99.83855492310505</c:v>
                </c:pt>
                <c:pt idx="7">
                  <c:v>100.68045104600461</c:v>
                </c:pt>
                <c:pt idx="8">
                  <c:v>102.39969116152474</c:v>
                </c:pt>
                <c:pt idx="9">
                  <c:v>102.43656876078055</c:v>
                </c:pt>
                <c:pt idx="10">
                  <c:v>102.41400574724337</c:v>
                </c:pt>
                <c:pt idx="11">
                  <c:v>102.41162284763379</c:v>
                </c:pt>
                <c:pt idx="12">
                  <c:v>101.14085828116113</c:v>
                </c:pt>
                <c:pt idx="13">
                  <c:v>100.02055724279177</c:v>
                </c:pt>
                <c:pt idx="14">
                  <c:v>97.650089256608169</c:v>
                </c:pt>
                <c:pt idx="15">
                  <c:v>95.611304907963188</c:v>
                </c:pt>
                <c:pt idx="16">
                  <c:v>95.957457838387327</c:v>
                </c:pt>
                <c:pt idx="17">
                  <c:v>99.048854732878823</c:v>
                </c:pt>
                <c:pt idx="18">
                  <c:v>96.860880380389332</c:v>
                </c:pt>
                <c:pt idx="19">
                  <c:v>91.971994210020341</c:v>
                </c:pt>
                <c:pt idx="20">
                  <c:v>91.159158618970849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EE-DA4E-B40B-A1B2F58AACA4}"/>
            </c:ext>
          </c:extLst>
        </c:ser>
        <c:ser>
          <c:idx val="12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Frec'!$H$136:$H$156</c:f>
              <c:numCache>
                <c:formatCode>0.00</c:formatCode>
                <c:ptCount val="21"/>
                <c:pt idx="0">
                  <c:v>83.123510114723274</c:v>
                </c:pt>
                <c:pt idx="1">
                  <c:v>86.114745145423385</c:v>
                </c:pt>
                <c:pt idx="2">
                  <c:v>90.158799101927571</c:v>
                </c:pt>
                <c:pt idx="3">
                  <c:v>86.53137559979875</c:v>
                </c:pt>
                <c:pt idx="4">
                  <c:v>90.683369816575095</c:v>
                </c:pt>
                <c:pt idx="5">
                  <c:v>98.276448572461845</c:v>
                </c:pt>
                <c:pt idx="6">
                  <c:v>103.18007895211193</c:v>
                </c:pt>
                <c:pt idx="7">
                  <c:v>105.47880425141237</c:v>
                </c:pt>
                <c:pt idx="8">
                  <c:v>102.61549303999571</c:v>
                </c:pt>
                <c:pt idx="9">
                  <c:v>102.3290948743018</c:v>
                </c:pt>
                <c:pt idx="10">
                  <c:v>102.57454388342171</c:v>
                </c:pt>
                <c:pt idx="11">
                  <c:v>100.1758442317214</c:v>
                </c:pt>
                <c:pt idx="12">
                  <c:v>98.856015913063118</c:v>
                </c:pt>
                <c:pt idx="13">
                  <c:v>99.625883726316076</c:v>
                </c:pt>
                <c:pt idx="14">
                  <c:v>97.888356638400353</c:v>
                </c:pt>
                <c:pt idx="15">
                  <c:v>97.603268347053884</c:v>
                </c:pt>
                <c:pt idx="16">
                  <c:v>97.694933304831252</c:v>
                </c:pt>
                <c:pt idx="17">
                  <c:v>98.007521442163764</c:v>
                </c:pt>
                <c:pt idx="18">
                  <c:v>94.20323471354547</c:v>
                </c:pt>
                <c:pt idx="19">
                  <c:v>92.351475524902341</c:v>
                </c:pt>
                <c:pt idx="20">
                  <c:v>91.104362502053519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EE-DA4E-B40B-A1B2F58AACA4}"/>
            </c:ext>
          </c:extLst>
        </c:ser>
        <c:ser>
          <c:idx val="13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Frec'!$I$136:$I$156</c:f>
              <c:numCache>
                <c:formatCode>0.00</c:formatCode>
                <c:ptCount val="21"/>
                <c:pt idx="0">
                  <c:v>75.823652182322732</c:v>
                </c:pt>
                <c:pt idx="1">
                  <c:v>80.13753092911621</c:v>
                </c:pt>
                <c:pt idx="2">
                  <c:v>87.605818955873374</c:v>
                </c:pt>
                <c:pt idx="3">
                  <c:v>87.170813202744768</c:v>
                </c:pt>
                <c:pt idx="4">
                  <c:v>90.092565436874921</c:v>
                </c:pt>
                <c:pt idx="5">
                  <c:v>92.666166169690953</c:v>
                </c:pt>
                <c:pt idx="6">
                  <c:v>96.516998617058121</c:v>
                </c:pt>
                <c:pt idx="7">
                  <c:v>102.62180219688307</c:v>
                </c:pt>
                <c:pt idx="8">
                  <c:v>104.31009310353743</c:v>
                </c:pt>
                <c:pt idx="9">
                  <c:v>102.96813498965243</c:v>
                </c:pt>
                <c:pt idx="10">
                  <c:v>98.399757138910687</c:v>
                </c:pt>
                <c:pt idx="11">
                  <c:v>98.154932657877609</c:v>
                </c:pt>
                <c:pt idx="12">
                  <c:v>98.245944835521556</c:v>
                </c:pt>
                <c:pt idx="13">
                  <c:v>97.482781941847691</c:v>
                </c:pt>
                <c:pt idx="14">
                  <c:v>95.853570240741675</c:v>
                </c:pt>
                <c:pt idx="15">
                  <c:v>95.569945303689607</c:v>
                </c:pt>
                <c:pt idx="16">
                  <c:v>95.646343720264923</c:v>
                </c:pt>
                <c:pt idx="17">
                  <c:v>95.985205567913297</c:v>
                </c:pt>
                <c:pt idx="18">
                  <c:v>93.809285257163779</c:v>
                </c:pt>
                <c:pt idx="19">
                  <c:v>91.155452289925449</c:v>
                </c:pt>
                <c:pt idx="20">
                  <c:v>89.752504542569042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3EE-DA4E-B40B-A1B2F58AACA4}"/>
            </c:ext>
          </c:extLst>
        </c:ser>
        <c:ser>
          <c:idx val="14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Frec'!$J$136:$J$156</c:f>
              <c:numCache>
                <c:formatCode>0.00</c:formatCode>
                <c:ptCount val="21"/>
                <c:pt idx="0">
                  <c:v>75.199756914642251</c:v>
                </c:pt>
                <c:pt idx="1">
                  <c:v>83.46411587544624</c:v>
                </c:pt>
                <c:pt idx="2">
                  <c:v>90.641555959364098</c:v>
                </c:pt>
                <c:pt idx="3">
                  <c:v>89.299503654833657</c:v>
                </c:pt>
                <c:pt idx="4">
                  <c:v>90.607802153761469</c:v>
                </c:pt>
                <c:pt idx="5">
                  <c:v>91.621883663007864</c:v>
                </c:pt>
                <c:pt idx="6">
                  <c:v>96.175737653459819</c:v>
                </c:pt>
                <c:pt idx="7">
                  <c:v>104.05067718130525</c:v>
                </c:pt>
                <c:pt idx="8">
                  <c:v>101.40336061764576</c:v>
                </c:pt>
                <c:pt idx="9">
                  <c:v>103.32413372231071</c:v>
                </c:pt>
                <c:pt idx="10">
                  <c:v>98.826064197320136</c:v>
                </c:pt>
                <c:pt idx="11">
                  <c:v>97.824363232110059</c:v>
                </c:pt>
                <c:pt idx="12">
                  <c:v>99.096685360824594</c:v>
                </c:pt>
                <c:pt idx="13">
                  <c:v>99.898631634527263</c:v>
                </c:pt>
                <c:pt idx="14">
                  <c:v>96.185030248780919</c:v>
                </c:pt>
                <c:pt idx="15">
                  <c:v>94.178634910619593</c:v>
                </c:pt>
                <c:pt idx="16">
                  <c:v>96.366256223045212</c:v>
                </c:pt>
                <c:pt idx="17">
                  <c:v>96.452622398297066</c:v>
                </c:pt>
                <c:pt idx="18">
                  <c:v>94.373046882217977</c:v>
                </c:pt>
                <c:pt idx="19">
                  <c:v>90.821057019193105</c:v>
                </c:pt>
                <c:pt idx="20">
                  <c:v>89.240836577474113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3EE-DA4E-B40B-A1B2F58AACA4}"/>
            </c:ext>
          </c:extLst>
        </c:ser>
        <c:ser>
          <c:idx val="15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Frec'!$K$136:$K$156</c:f>
              <c:numCache>
                <c:formatCode>0.00</c:formatCode>
                <c:ptCount val="21"/>
                <c:pt idx="0">
                  <c:v>72.485892377786755</c:v>
                </c:pt>
                <c:pt idx="1">
                  <c:v>88.630660412782092</c:v>
                </c:pt>
                <c:pt idx="2">
                  <c:v>94.160373720163662</c:v>
                </c:pt>
                <c:pt idx="3">
                  <c:v>84.064621166196829</c:v>
                </c:pt>
                <c:pt idx="4">
                  <c:v>89.250103634410138</c:v>
                </c:pt>
                <c:pt idx="5">
                  <c:v>94.391020402917334</c:v>
                </c:pt>
                <c:pt idx="6">
                  <c:v>102.22891736053093</c:v>
                </c:pt>
                <c:pt idx="7">
                  <c:v>104.69362169937551</c:v>
                </c:pt>
                <c:pt idx="8">
                  <c:v>101.85779145756794</c:v>
                </c:pt>
                <c:pt idx="9">
                  <c:v>103.53200255800127</c:v>
                </c:pt>
                <c:pt idx="10">
                  <c:v>101.17206345108796</c:v>
                </c:pt>
                <c:pt idx="11">
                  <c:v>101.2099479336689</c:v>
                </c:pt>
                <c:pt idx="12">
                  <c:v>101.64146270607867</c:v>
                </c:pt>
                <c:pt idx="13">
                  <c:v>99.687617481148834</c:v>
                </c:pt>
                <c:pt idx="14">
                  <c:v>96.777969763794516</c:v>
                </c:pt>
                <c:pt idx="15">
                  <c:v>97.603458934059901</c:v>
                </c:pt>
                <c:pt idx="16">
                  <c:v>95.678382470092203</c:v>
                </c:pt>
                <c:pt idx="17">
                  <c:v>98.219781200203613</c:v>
                </c:pt>
                <c:pt idx="18">
                  <c:v>94.765549267993094</c:v>
                </c:pt>
                <c:pt idx="19">
                  <c:v>91.879182521974968</c:v>
                </c:pt>
                <c:pt idx="20">
                  <c:v>90.59310109802189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3EE-DA4E-B40B-A1B2F58AACA4}"/>
            </c:ext>
          </c:extLst>
        </c:ser>
        <c:ser>
          <c:idx val="16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Frec'!$C$136:$C$156</c:f>
              <c:numCache>
                <c:formatCode>0.00</c:formatCode>
                <c:ptCount val="21"/>
                <c:pt idx="0">
                  <c:v>26.46942315021014</c:v>
                </c:pt>
                <c:pt idx="1">
                  <c:v>19.024018184726351</c:v>
                </c:pt>
                <c:pt idx="2">
                  <c:v>25.637379282937712</c:v>
                </c:pt>
                <c:pt idx="3">
                  <c:v>21.279253120075122</c:v>
                </c:pt>
                <c:pt idx="4">
                  <c:v>19.664507151580136</c:v>
                </c:pt>
                <c:pt idx="5">
                  <c:v>22.19456680109349</c:v>
                </c:pt>
                <c:pt idx="6">
                  <c:v>20.456081392861158</c:v>
                </c:pt>
                <c:pt idx="7">
                  <c:v>20.662895160471663</c:v>
                </c:pt>
                <c:pt idx="8">
                  <c:v>21.240521553743957</c:v>
                </c:pt>
                <c:pt idx="9">
                  <c:v>21.45340151594581</c:v>
                </c:pt>
                <c:pt idx="10">
                  <c:v>21.834310797008023</c:v>
                </c:pt>
                <c:pt idx="11">
                  <c:v>22.146913411868407</c:v>
                </c:pt>
                <c:pt idx="12">
                  <c:v>22.666651875827029</c:v>
                </c:pt>
                <c:pt idx="13">
                  <c:v>23.385404400769694</c:v>
                </c:pt>
                <c:pt idx="14">
                  <c:v>24.0174561464585</c:v>
                </c:pt>
                <c:pt idx="15">
                  <c:v>25.004070056275367</c:v>
                </c:pt>
                <c:pt idx="16">
                  <c:v>25.738647262513716</c:v>
                </c:pt>
                <c:pt idx="17">
                  <c:v>26.319398473236124</c:v>
                </c:pt>
                <c:pt idx="18">
                  <c:v>27.18455760593687</c:v>
                </c:pt>
                <c:pt idx="19">
                  <c:v>28.086701907789134</c:v>
                </c:pt>
                <c:pt idx="20">
                  <c:v>28.979656410465314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3EE-DA4E-B40B-A1B2F58AACA4}"/>
            </c:ext>
          </c:extLst>
        </c:ser>
        <c:ser>
          <c:idx val="17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Frec'!$P$136:$P$156</c:f>
              <c:numCache>
                <c:formatCode>0.00</c:formatCode>
                <c:ptCount val="21"/>
                <c:pt idx="0">
                  <c:v>80.057120008933168</c:v>
                </c:pt>
                <c:pt idx="1">
                  <c:v>79.093252646547327</c:v>
                </c:pt>
                <c:pt idx="2">
                  <c:v>82.820581539995686</c:v>
                </c:pt>
                <c:pt idx="3">
                  <c:v>82.54241943359375</c:v>
                </c:pt>
                <c:pt idx="4">
                  <c:v>90.318446125660842</c:v>
                </c:pt>
                <c:pt idx="5">
                  <c:v>102.16405054946797</c:v>
                </c:pt>
                <c:pt idx="6">
                  <c:v>100.08203963723315</c:v>
                </c:pt>
                <c:pt idx="7">
                  <c:v>103.05628069537872</c:v>
                </c:pt>
                <c:pt idx="8">
                  <c:v>103.57878066156746</c:v>
                </c:pt>
                <c:pt idx="9">
                  <c:v>102.29772960877806</c:v>
                </c:pt>
                <c:pt idx="10">
                  <c:v>101.32755777236953</c:v>
                </c:pt>
                <c:pt idx="11">
                  <c:v>102.0639731143926</c:v>
                </c:pt>
                <c:pt idx="12">
                  <c:v>98.086578216115527</c:v>
                </c:pt>
                <c:pt idx="13">
                  <c:v>98.493062016615553</c:v>
                </c:pt>
                <c:pt idx="14">
                  <c:v>97.674552064912021</c:v>
                </c:pt>
                <c:pt idx="15">
                  <c:v>96.05450388444757</c:v>
                </c:pt>
                <c:pt idx="16">
                  <c:v>96.133978063078757</c:v>
                </c:pt>
                <c:pt idx="17">
                  <c:v>97.504595628098983</c:v>
                </c:pt>
                <c:pt idx="18">
                  <c:v>95.425948120233784</c:v>
                </c:pt>
                <c:pt idx="19">
                  <c:v>91.955886279728261</c:v>
                </c:pt>
                <c:pt idx="20">
                  <c:v>90.395335010721666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3EE-DA4E-B40B-A1B2F58AACA4}"/>
            </c:ext>
          </c:extLst>
        </c:ser>
        <c:ser>
          <c:idx val="18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Frec'!$Q$136:$Q$156</c:f>
              <c:numCache>
                <c:formatCode>0.00</c:formatCode>
                <c:ptCount val="21"/>
                <c:pt idx="0">
                  <c:v>77.602896688612347</c:v>
                </c:pt>
                <c:pt idx="1">
                  <c:v>82.151660413373236</c:v>
                </c:pt>
                <c:pt idx="2">
                  <c:v>94.344562130079737</c:v>
                </c:pt>
                <c:pt idx="3">
                  <c:v>88.224942307445886</c:v>
                </c:pt>
                <c:pt idx="4">
                  <c:v>89.046106826754126</c:v>
                </c:pt>
                <c:pt idx="5">
                  <c:v>96.205488665108305</c:v>
                </c:pt>
                <c:pt idx="6">
                  <c:v>101.38444249274322</c:v>
                </c:pt>
                <c:pt idx="7">
                  <c:v>98.084716206756084</c:v>
                </c:pt>
                <c:pt idx="8">
                  <c:v>100.42696854115411</c:v>
                </c:pt>
                <c:pt idx="9">
                  <c:v>100.16849623903165</c:v>
                </c:pt>
                <c:pt idx="10">
                  <c:v>101.93577269383776</c:v>
                </c:pt>
                <c:pt idx="11">
                  <c:v>97.415841490743787</c:v>
                </c:pt>
                <c:pt idx="12">
                  <c:v>99.59022745374817</c:v>
                </c:pt>
                <c:pt idx="13">
                  <c:v>98.167160258986897</c:v>
                </c:pt>
                <c:pt idx="14">
                  <c:v>95.087837296515758</c:v>
                </c:pt>
                <c:pt idx="15">
                  <c:v>95.336600337019718</c:v>
                </c:pt>
                <c:pt idx="16">
                  <c:v>95.061615784084822</c:v>
                </c:pt>
                <c:pt idx="17">
                  <c:v>98.180902540793511</c:v>
                </c:pt>
                <c:pt idx="18">
                  <c:v>95.122336645811302</c:v>
                </c:pt>
                <c:pt idx="19">
                  <c:v>91.331000073399551</c:v>
                </c:pt>
                <c:pt idx="20">
                  <c:v>89.829419903553216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3EE-DA4E-B40B-A1B2F58AACA4}"/>
            </c:ext>
          </c:extLst>
        </c:ser>
        <c:ser>
          <c:idx val="19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Frec'!$R$136:$R$156</c:f>
              <c:numCache>
                <c:formatCode>0.00</c:formatCode>
                <c:ptCount val="21"/>
                <c:pt idx="0">
                  <c:v>82.97510590091828</c:v>
                </c:pt>
                <c:pt idx="1">
                  <c:v>84.974258987455713</c:v>
                </c:pt>
                <c:pt idx="2">
                  <c:v>92.791803501136386</c:v>
                </c:pt>
                <c:pt idx="3">
                  <c:v>92.294432428349126</c:v>
                </c:pt>
                <c:pt idx="4">
                  <c:v>93.052286933450134</c:v>
                </c:pt>
                <c:pt idx="5">
                  <c:v>101.34612368270614</c:v>
                </c:pt>
                <c:pt idx="6">
                  <c:v>98.564226320617792</c:v>
                </c:pt>
                <c:pt idx="7">
                  <c:v>99.689839878842321</c:v>
                </c:pt>
                <c:pt idx="8">
                  <c:v>104.38282757782619</c:v>
                </c:pt>
                <c:pt idx="9">
                  <c:v>101.23107393326298</c:v>
                </c:pt>
                <c:pt idx="10">
                  <c:v>101.45037630432245</c:v>
                </c:pt>
                <c:pt idx="11">
                  <c:v>101.68213686861621</c:v>
                </c:pt>
                <c:pt idx="12">
                  <c:v>99.965698647544329</c:v>
                </c:pt>
                <c:pt idx="13">
                  <c:v>98.675611282435497</c:v>
                </c:pt>
                <c:pt idx="14">
                  <c:v>98.393778770200669</c:v>
                </c:pt>
                <c:pt idx="15">
                  <c:v>95.879291201452148</c:v>
                </c:pt>
                <c:pt idx="16">
                  <c:v>94.851422702564918</c:v>
                </c:pt>
                <c:pt idx="17">
                  <c:v>97.456233334043674</c:v>
                </c:pt>
                <c:pt idx="18">
                  <c:v>95.508918393042777</c:v>
                </c:pt>
                <c:pt idx="19">
                  <c:v>91.640230884588192</c:v>
                </c:pt>
                <c:pt idx="20">
                  <c:v>90.073205205928218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3EE-DA4E-B40B-A1B2F58AACA4}"/>
            </c:ext>
          </c:extLst>
        </c:ser>
        <c:ser>
          <c:idx val="20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Frec'!$S$136:$S$156</c:f>
              <c:numCache>
                <c:formatCode>0.00</c:formatCode>
                <c:ptCount val="21"/>
                <c:pt idx="0">
                  <c:v>86.334530548615888</c:v>
                </c:pt>
                <c:pt idx="1">
                  <c:v>89.834457751476407</c:v>
                </c:pt>
                <c:pt idx="2">
                  <c:v>95.41781262195471</c:v>
                </c:pt>
                <c:pt idx="3">
                  <c:v>89.766342365380495</c:v>
                </c:pt>
                <c:pt idx="4">
                  <c:v>90.957123619137391</c:v>
                </c:pt>
                <c:pt idx="5">
                  <c:v>92.074796337069884</c:v>
                </c:pt>
                <c:pt idx="6">
                  <c:v>95.428023309418649</c:v>
                </c:pt>
                <c:pt idx="7">
                  <c:v>92.934385184085727</c:v>
                </c:pt>
                <c:pt idx="8">
                  <c:v>98.715053002039596</c:v>
                </c:pt>
                <c:pt idx="9">
                  <c:v>102.39585005153309</c:v>
                </c:pt>
                <c:pt idx="10">
                  <c:v>101.06620248158772</c:v>
                </c:pt>
                <c:pt idx="11">
                  <c:v>101.74283155527982</c:v>
                </c:pt>
                <c:pt idx="12">
                  <c:v>97.925270029992774</c:v>
                </c:pt>
                <c:pt idx="13">
                  <c:v>98.734252279455006</c:v>
                </c:pt>
                <c:pt idx="14">
                  <c:v>95.710289528875634</c:v>
                </c:pt>
                <c:pt idx="15">
                  <c:v>95.929601864381269</c:v>
                </c:pt>
                <c:pt idx="16">
                  <c:v>96.66308756308122</c:v>
                </c:pt>
                <c:pt idx="17">
                  <c:v>97.115761366757482</c:v>
                </c:pt>
                <c:pt idx="18">
                  <c:v>95.129673126972079</c:v>
                </c:pt>
                <c:pt idx="19">
                  <c:v>90.837846770431057</c:v>
                </c:pt>
                <c:pt idx="20">
                  <c:v>89.708046934821382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3EE-DA4E-B40B-A1B2F58AACA4}"/>
            </c:ext>
          </c:extLst>
        </c:ser>
        <c:ser>
          <c:idx val="21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Frec'!$T$136:$T$156</c:f>
              <c:numCache>
                <c:formatCode>0.00</c:formatCode>
                <c:ptCount val="21"/>
                <c:pt idx="0">
                  <c:v>70.388628232399853</c:v>
                </c:pt>
                <c:pt idx="1">
                  <c:v>75.092467182155801</c:v>
                </c:pt>
                <c:pt idx="2">
                  <c:v>83.465417867372523</c:v>
                </c:pt>
                <c:pt idx="3">
                  <c:v>88.750856571614122</c:v>
                </c:pt>
                <c:pt idx="4">
                  <c:v>88.838520068162296</c:v>
                </c:pt>
                <c:pt idx="5">
                  <c:v>100.67327406286401</c:v>
                </c:pt>
                <c:pt idx="6">
                  <c:v>99.052820957397572</c:v>
                </c:pt>
                <c:pt idx="7">
                  <c:v>101.89530814407219</c:v>
                </c:pt>
                <c:pt idx="8">
                  <c:v>100.5370927033601</c:v>
                </c:pt>
                <c:pt idx="9">
                  <c:v>103.49666707037974</c:v>
                </c:pt>
                <c:pt idx="10">
                  <c:v>100.15221033340845</c:v>
                </c:pt>
                <c:pt idx="11">
                  <c:v>101.02315561814412</c:v>
                </c:pt>
                <c:pt idx="12">
                  <c:v>100.74278038292982</c:v>
                </c:pt>
                <c:pt idx="13">
                  <c:v>98.962460741584678</c:v>
                </c:pt>
                <c:pt idx="14">
                  <c:v>96.985578741669542</c:v>
                </c:pt>
                <c:pt idx="15">
                  <c:v>95.550884395356647</c:v>
                </c:pt>
                <c:pt idx="16">
                  <c:v>95.649005466037323</c:v>
                </c:pt>
                <c:pt idx="17">
                  <c:v>97.15032935074592</c:v>
                </c:pt>
                <c:pt idx="18">
                  <c:v>94.788030647937163</c:v>
                </c:pt>
                <c:pt idx="19">
                  <c:v>91.12201882676635</c:v>
                </c:pt>
                <c:pt idx="20">
                  <c:v>90.668482788607605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3EE-DA4E-B40B-A1B2F58AACA4}"/>
            </c:ext>
          </c:extLst>
        </c:ser>
        <c:ser>
          <c:idx val="0"/>
          <c:order val="11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Frec'!$G$136:$G$156</c:f>
              <c:numCache>
                <c:formatCode>0.00</c:formatCode>
                <c:ptCount val="21"/>
                <c:pt idx="0">
                  <c:v>87.181794776770346</c:v>
                </c:pt>
                <c:pt idx="1">
                  <c:v>92.844971828533772</c:v>
                </c:pt>
                <c:pt idx="2">
                  <c:v>89.722451359832874</c:v>
                </c:pt>
                <c:pt idx="3">
                  <c:v>80.836505414882382</c:v>
                </c:pt>
                <c:pt idx="4">
                  <c:v>92.125066128727127</c:v>
                </c:pt>
                <c:pt idx="5">
                  <c:v>97.975730742531255</c:v>
                </c:pt>
                <c:pt idx="6">
                  <c:v>99.83855492310505</c:v>
                </c:pt>
                <c:pt idx="7">
                  <c:v>100.68045104600461</c:v>
                </c:pt>
                <c:pt idx="8">
                  <c:v>102.39969116152474</c:v>
                </c:pt>
                <c:pt idx="9">
                  <c:v>102.43656876078055</c:v>
                </c:pt>
                <c:pt idx="10">
                  <c:v>102.41400574724337</c:v>
                </c:pt>
                <c:pt idx="11">
                  <c:v>102.41162284763379</c:v>
                </c:pt>
                <c:pt idx="12">
                  <c:v>101.14085828116113</c:v>
                </c:pt>
                <c:pt idx="13">
                  <c:v>100.02055724279177</c:v>
                </c:pt>
                <c:pt idx="14">
                  <c:v>97.650089256608169</c:v>
                </c:pt>
                <c:pt idx="15">
                  <c:v>95.611304907963188</c:v>
                </c:pt>
                <c:pt idx="16">
                  <c:v>95.957457838387327</c:v>
                </c:pt>
                <c:pt idx="17">
                  <c:v>99.048854732878823</c:v>
                </c:pt>
                <c:pt idx="18">
                  <c:v>96.860880380389332</c:v>
                </c:pt>
                <c:pt idx="19">
                  <c:v>91.971994210020341</c:v>
                </c:pt>
                <c:pt idx="20">
                  <c:v>91.159158618970849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E-DA4E-B40B-A1B2F58AACA4}"/>
            </c:ext>
          </c:extLst>
        </c:ser>
        <c:ser>
          <c:idx val="1"/>
          <c:order val="12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Frec'!$H$136:$H$156</c:f>
              <c:numCache>
                <c:formatCode>0.00</c:formatCode>
                <c:ptCount val="21"/>
                <c:pt idx="0">
                  <c:v>83.123510114723274</c:v>
                </c:pt>
                <c:pt idx="1">
                  <c:v>86.114745145423385</c:v>
                </c:pt>
                <c:pt idx="2">
                  <c:v>90.158799101927571</c:v>
                </c:pt>
                <c:pt idx="3">
                  <c:v>86.53137559979875</c:v>
                </c:pt>
                <c:pt idx="4">
                  <c:v>90.683369816575095</c:v>
                </c:pt>
                <c:pt idx="5">
                  <c:v>98.276448572461845</c:v>
                </c:pt>
                <c:pt idx="6">
                  <c:v>103.18007895211193</c:v>
                </c:pt>
                <c:pt idx="7">
                  <c:v>105.47880425141237</c:v>
                </c:pt>
                <c:pt idx="8">
                  <c:v>102.61549303999571</c:v>
                </c:pt>
                <c:pt idx="9">
                  <c:v>102.3290948743018</c:v>
                </c:pt>
                <c:pt idx="10">
                  <c:v>102.57454388342171</c:v>
                </c:pt>
                <c:pt idx="11">
                  <c:v>100.1758442317214</c:v>
                </c:pt>
                <c:pt idx="12">
                  <c:v>98.856015913063118</c:v>
                </c:pt>
                <c:pt idx="13">
                  <c:v>99.625883726316076</c:v>
                </c:pt>
                <c:pt idx="14">
                  <c:v>97.888356638400353</c:v>
                </c:pt>
                <c:pt idx="15">
                  <c:v>97.603268347053884</c:v>
                </c:pt>
                <c:pt idx="16">
                  <c:v>97.694933304831252</c:v>
                </c:pt>
                <c:pt idx="17">
                  <c:v>98.007521442163764</c:v>
                </c:pt>
                <c:pt idx="18">
                  <c:v>94.20323471354547</c:v>
                </c:pt>
                <c:pt idx="19">
                  <c:v>92.351475524902341</c:v>
                </c:pt>
                <c:pt idx="20">
                  <c:v>91.104362502053519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E-DA4E-B40B-A1B2F58AACA4}"/>
            </c:ext>
          </c:extLst>
        </c:ser>
        <c:ser>
          <c:idx val="2"/>
          <c:order val="13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Frec'!$I$136:$I$156</c:f>
              <c:numCache>
                <c:formatCode>0.00</c:formatCode>
                <c:ptCount val="21"/>
                <c:pt idx="0">
                  <c:v>75.823652182322732</c:v>
                </c:pt>
                <c:pt idx="1">
                  <c:v>80.13753092911621</c:v>
                </c:pt>
                <c:pt idx="2">
                  <c:v>87.605818955873374</c:v>
                </c:pt>
                <c:pt idx="3">
                  <c:v>87.170813202744768</c:v>
                </c:pt>
                <c:pt idx="4">
                  <c:v>90.092565436874921</c:v>
                </c:pt>
                <c:pt idx="5">
                  <c:v>92.666166169690953</c:v>
                </c:pt>
                <c:pt idx="6">
                  <c:v>96.516998617058121</c:v>
                </c:pt>
                <c:pt idx="7">
                  <c:v>102.62180219688307</c:v>
                </c:pt>
                <c:pt idx="8">
                  <c:v>104.31009310353743</c:v>
                </c:pt>
                <c:pt idx="9">
                  <c:v>102.96813498965243</c:v>
                </c:pt>
                <c:pt idx="10">
                  <c:v>98.399757138910687</c:v>
                </c:pt>
                <c:pt idx="11">
                  <c:v>98.154932657877609</c:v>
                </c:pt>
                <c:pt idx="12">
                  <c:v>98.245944835521556</c:v>
                </c:pt>
                <c:pt idx="13">
                  <c:v>97.482781941847691</c:v>
                </c:pt>
                <c:pt idx="14">
                  <c:v>95.853570240741675</c:v>
                </c:pt>
                <c:pt idx="15">
                  <c:v>95.569945303689607</c:v>
                </c:pt>
                <c:pt idx="16">
                  <c:v>95.646343720264923</c:v>
                </c:pt>
                <c:pt idx="17">
                  <c:v>95.985205567913297</c:v>
                </c:pt>
                <c:pt idx="18">
                  <c:v>93.809285257163779</c:v>
                </c:pt>
                <c:pt idx="19">
                  <c:v>91.155452289925449</c:v>
                </c:pt>
                <c:pt idx="20">
                  <c:v>89.752504542569042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EE-DA4E-B40B-A1B2F58AACA4}"/>
            </c:ext>
          </c:extLst>
        </c:ser>
        <c:ser>
          <c:idx val="3"/>
          <c:order val="14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Frec'!$J$136:$J$156</c:f>
              <c:numCache>
                <c:formatCode>0.00</c:formatCode>
                <c:ptCount val="21"/>
                <c:pt idx="0">
                  <c:v>75.199756914642251</c:v>
                </c:pt>
                <c:pt idx="1">
                  <c:v>83.46411587544624</c:v>
                </c:pt>
                <c:pt idx="2">
                  <c:v>90.641555959364098</c:v>
                </c:pt>
                <c:pt idx="3">
                  <c:v>89.299503654833657</c:v>
                </c:pt>
                <c:pt idx="4">
                  <c:v>90.607802153761469</c:v>
                </c:pt>
                <c:pt idx="5">
                  <c:v>91.621883663007864</c:v>
                </c:pt>
                <c:pt idx="6">
                  <c:v>96.175737653459819</c:v>
                </c:pt>
                <c:pt idx="7">
                  <c:v>104.05067718130525</c:v>
                </c:pt>
                <c:pt idx="8">
                  <c:v>101.40336061764576</c:v>
                </c:pt>
                <c:pt idx="9">
                  <c:v>103.32413372231071</c:v>
                </c:pt>
                <c:pt idx="10">
                  <c:v>98.826064197320136</c:v>
                </c:pt>
                <c:pt idx="11">
                  <c:v>97.824363232110059</c:v>
                </c:pt>
                <c:pt idx="12">
                  <c:v>99.096685360824594</c:v>
                </c:pt>
                <c:pt idx="13">
                  <c:v>99.898631634527263</c:v>
                </c:pt>
                <c:pt idx="14">
                  <c:v>96.185030248780919</c:v>
                </c:pt>
                <c:pt idx="15">
                  <c:v>94.178634910619593</c:v>
                </c:pt>
                <c:pt idx="16">
                  <c:v>96.366256223045212</c:v>
                </c:pt>
                <c:pt idx="17">
                  <c:v>96.452622398297066</c:v>
                </c:pt>
                <c:pt idx="18">
                  <c:v>94.373046882217977</c:v>
                </c:pt>
                <c:pt idx="19">
                  <c:v>90.821057019193105</c:v>
                </c:pt>
                <c:pt idx="20">
                  <c:v>89.240836577474113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EE-DA4E-B40B-A1B2F58AACA4}"/>
            </c:ext>
          </c:extLst>
        </c:ser>
        <c:ser>
          <c:idx val="4"/>
          <c:order val="15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Frec'!$K$136:$K$156</c:f>
              <c:numCache>
                <c:formatCode>0.00</c:formatCode>
                <c:ptCount val="21"/>
                <c:pt idx="0">
                  <c:v>72.485892377786755</c:v>
                </c:pt>
                <c:pt idx="1">
                  <c:v>88.630660412782092</c:v>
                </c:pt>
                <c:pt idx="2">
                  <c:v>94.160373720163662</c:v>
                </c:pt>
                <c:pt idx="3">
                  <c:v>84.064621166196829</c:v>
                </c:pt>
                <c:pt idx="4">
                  <c:v>89.250103634410138</c:v>
                </c:pt>
                <c:pt idx="5">
                  <c:v>94.391020402917334</c:v>
                </c:pt>
                <c:pt idx="6">
                  <c:v>102.22891736053093</c:v>
                </c:pt>
                <c:pt idx="7">
                  <c:v>104.69362169937551</c:v>
                </c:pt>
                <c:pt idx="8">
                  <c:v>101.85779145756794</c:v>
                </c:pt>
                <c:pt idx="9">
                  <c:v>103.53200255800127</c:v>
                </c:pt>
                <c:pt idx="10">
                  <c:v>101.17206345108796</c:v>
                </c:pt>
                <c:pt idx="11">
                  <c:v>101.2099479336689</c:v>
                </c:pt>
                <c:pt idx="12">
                  <c:v>101.64146270607867</c:v>
                </c:pt>
                <c:pt idx="13">
                  <c:v>99.687617481148834</c:v>
                </c:pt>
                <c:pt idx="14">
                  <c:v>96.777969763794516</c:v>
                </c:pt>
                <c:pt idx="15">
                  <c:v>97.603458934059901</c:v>
                </c:pt>
                <c:pt idx="16">
                  <c:v>95.678382470092203</c:v>
                </c:pt>
                <c:pt idx="17">
                  <c:v>98.219781200203613</c:v>
                </c:pt>
                <c:pt idx="18">
                  <c:v>94.765549267993094</c:v>
                </c:pt>
                <c:pt idx="19">
                  <c:v>91.879182521974968</c:v>
                </c:pt>
                <c:pt idx="20">
                  <c:v>90.59310109802189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EE-DA4E-B40B-A1B2F58AACA4}"/>
            </c:ext>
          </c:extLst>
        </c:ser>
        <c:ser>
          <c:idx val="5"/>
          <c:order val="16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Frec'!$C$136:$C$156</c:f>
              <c:numCache>
                <c:formatCode>0.00</c:formatCode>
                <c:ptCount val="21"/>
                <c:pt idx="0">
                  <c:v>26.46942315021014</c:v>
                </c:pt>
                <c:pt idx="1">
                  <c:v>19.024018184726351</c:v>
                </c:pt>
                <c:pt idx="2">
                  <c:v>25.637379282937712</c:v>
                </c:pt>
                <c:pt idx="3">
                  <c:v>21.279253120075122</c:v>
                </c:pt>
                <c:pt idx="4">
                  <c:v>19.664507151580136</c:v>
                </c:pt>
                <c:pt idx="5">
                  <c:v>22.19456680109349</c:v>
                </c:pt>
                <c:pt idx="6">
                  <c:v>20.456081392861158</c:v>
                </c:pt>
                <c:pt idx="7">
                  <c:v>20.662895160471663</c:v>
                </c:pt>
                <c:pt idx="8">
                  <c:v>21.240521553743957</c:v>
                </c:pt>
                <c:pt idx="9">
                  <c:v>21.45340151594581</c:v>
                </c:pt>
                <c:pt idx="10">
                  <c:v>21.834310797008023</c:v>
                </c:pt>
                <c:pt idx="11">
                  <c:v>22.146913411868407</c:v>
                </c:pt>
                <c:pt idx="12">
                  <c:v>22.666651875827029</c:v>
                </c:pt>
                <c:pt idx="13">
                  <c:v>23.385404400769694</c:v>
                </c:pt>
                <c:pt idx="14">
                  <c:v>24.0174561464585</c:v>
                </c:pt>
                <c:pt idx="15">
                  <c:v>25.004070056275367</c:v>
                </c:pt>
                <c:pt idx="16">
                  <c:v>25.738647262513716</c:v>
                </c:pt>
                <c:pt idx="17">
                  <c:v>26.319398473236124</c:v>
                </c:pt>
                <c:pt idx="18">
                  <c:v>27.18455760593687</c:v>
                </c:pt>
                <c:pt idx="19">
                  <c:v>28.086701907789134</c:v>
                </c:pt>
                <c:pt idx="20">
                  <c:v>28.979656410465314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EE-DA4E-B40B-A1B2F58AACA4}"/>
            </c:ext>
          </c:extLst>
        </c:ser>
        <c:ser>
          <c:idx val="6"/>
          <c:order val="17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Frec'!$P$136:$P$156</c:f>
              <c:numCache>
                <c:formatCode>0.00</c:formatCode>
                <c:ptCount val="21"/>
                <c:pt idx="0">
                  <c:v>80.057120008933168</c:v>
                </c:pt>
                <c:pt idx="1">
                  <c:v>79.093252646547327</c:v>
                </c:pt>
                <c:pt idx="2">
                  <c:v>82.820581539995686</c:v>
                </c:pt>
                <c:pt idx="3">
                  <c:v>82.54241943359375</c:v>
                </c:pt>
                <c:pt idx="4">
                  <c:v>90.318446125660842</c:v>
                </c:pt>
                <c:pt idx="5">
                  <c:v>102.16405054946797</c:v>
                </c:pt>
                <c:pt idx="6">
                  <c:v>100.08203963723315</c:v>
                </c:pt>
                <c:pt idx="7">
                  <c:v>103.05628069537872</c:v>
                </c:pt>
                <c:pt idx="8">
                  <c:v>103.57878066156746</c:v>
                </c:pt>
                <c:pt idx="9">
                  <c:v>102.29772960877806</c:v>
                </c:pt>
                <c:pt idx="10">
                  <c:v>101.32755777236953</c:v>
                </c:pt>
                <c:pt idx="11">
                  <c:v>102.0639731143926</c:v>
                </c:pt>
                <c:pt idx="12">
                  <c:v>98.086578216115527</c:v>
                </c:pt>
                <c:pt idx="13">
                  <c:v>98.493062016615553</c:v>
                </c:pt>
                <c:pt idx="14">
                  <c:v>97.674552064912021</c:v>
                </c:pt>
                <c:pt idx="15">
                  <c:v>96.05450388444757</c:v>
                </c:pt>
                <c:pt idx="16">
                  <c:v>96.133978063078757</c:v>
                </c:pt>
                <c:pt idx="17">
                  <c:v>97.504595628098983</c:v>
                </c:pt>
                <c:pt idx="18">
                  <c:v>95.425948120233784</c:v>
                </c:pt>
                <c:pt idx="19">
                  <c:v>91.955886279728261</c:v>
                </c:pt>
                <c:pt idx="20">
                  <c:v>90.395335010721666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EE-DA4E-B40B-A1B2F58AACA4}"/>
            </c:ext>
          </c:extLst>
        </c:ser>
        <c:ser>
          <c:idx val="7"/>
          <c:order val="18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Frec'!$Q$136:$Q$156</c:f>
              <c:numCache>
                <c:formatCode>0.00</c:formatCode>
                <c:ptCount val="21"/>
                <c:pt idx="0">
                  <c:v>77.602896688612347</c:v>
                </c:pt>
                <c:pt idx="1">
                  <c:v>82.151660413373236</c:v>
                </c:pt>
                <c:pt idx="2">
                  <c:v>94.344562130079737</c:v>
                </c:pt>
                <c:pt idx="3">
                  <c:v>88.224942307445886</c:v>
                </c:pt>
                <c:pt idx="4">
                  <c:v>89.046106826754126</c:v>
                </c:pt>
                <c:pt idx="5">
                  <c:v>96.205488665108305</c:v>
                </c:pt>
                <c:pt idx="6">
                  <c:v>101.38444249274322</c:v>
                </c:pt>
                <c:pt idx="7">
                  <c:v>98.084716206756084</c:v>
                </c:pt>
                <c:pt idx="8">
                  <c:v>100.42696854115411</c:v>
                </c:pt>
                <c:pt idx="9">
                  <c:v>100.16849623903165</c:v>
                </c:pt>
                <c:pt idx="10">
                  <c:v>101.93577269383776</c:v>
                </c:pt>
                <c:pt idx="11">
                  <c:v>97.415841490743787</c:v>
                </c:pt>
                <c:pt idx="12">
                  <c:v>99.59022745374817</c:v>
                </c:pt>
                <c:pt idx="13">
                  <c:v>98.167160258986897</c:v>
                </c:pt>
                <c:pt idx="14">
                  <c:v>95.087837296515758</c:v>
                </c:pt>
                <c:pt idx="15">
                  <c:v>95.336600337019718</c:v>
                </c:pt>
                <c:pt idx="16">
                  <c:v>95.061615784084822</c:v>
                </c:pt>
                <c:pt idx="17">
                  <c:v>98.180902540793511</c:v>
                </c:pt>
                <c:pt idx="18">
                  <c:v>95.122336645811302</c:v>
                </c:pt>
                <c:pt idx="19">
                  <c:v>91.331000073399551</c:v>
                </c:pt>
                <c:pt idx="20">
                  <c:v>89.829419903553216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EE-DA4E-B40B-A1B2F58AACA4}"/>
            </c:ext>
          </c:extLst>
        </c:ser>
        <c:ser>
          <c:idx val="8"/>
          <c:order val="19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Frec'!$R$136:$R$156</c:f>
              <c:numCache>
                <c:formatCode>0.00</c:formatCode>
                <c:ptCount val="21"/>
                <c:pt idx="0">
                  <c:v>82.97510590091828</c:v>
                </c:pt>
                <c:pt idx="1">
                  <c:v>84.974258987455713</c:v>
                </c:pt>
                <c:pt idx="2">
                  <c:v>92.791803501136386</c:v>
                </c:pt>
                <c:pt idx="3">
                  <c:v>92.294432428349126</c:v>
                </c:pt>
                <c:pt idx="4">
                  <c:v>93.052286933450134</c:v>
                </c:pt>
                <c:pt idx="5">
                  <c:v>101.34612368270614</c:v>
                </c:pt>
                <c:pt idx="6">
                  <c:v>98.564226320617792</c:v>
                </c:pt>
                <c:pt idx="7">
                  <c:v>99.689839878842321</c:v>
                </c:pt>
                <c:pt idx="8">
                  <c:v>104.38282757782619</c:v>
                </c:pt>
                <c:pt idx="9">
                  <c:v>101.23107393326298</c:v>
                </c:pt>
                <c:pt idx="10">
                  <c:v>101.45037630432245</c:v>
                </c:pt>
                <c:pt idx="11">
                  <c:v>101.68213686861621</c:v>
                </c:pt>
                <c:pt idx="12">
                  <c:v>99.965698647544329</c:v>
                </c:pt>
                <c:pt idx="13">
                  <c:v>98.675611282435497</c:v>
                </c:pt>
                <c:pt idx="14">
                  <c:v>98.393778770200669</c:v>
                </c:pt>
                <c:pt idx="15">
                  <c:v>95.879291201452148</c:v>
                </c:pt>
                <c:pt idx="16">
                  <c:v>94.851422702564918</c:v>
                </c:pt>
                <c:pt idx="17">
                  <c:v>97.456233334043674</c:v>
                </c:pt>
                <c:pt idx="18">
                  <c:v>95.508918393042777</c:v>
                </c:pt>
                <c:pt idx="19">
                  <c:v>91.640230884588192</c:v>
                </c:pt>
                <c:pt idx="20">
                  <c:v>90.073205205928218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EE-DA4E-B40B-A1B2F58AACA4}"/>
            </c:ext>
          </c:extLst>
        </c:ser>
        <c:ser>
          <c:idx val="9"/>
          <c:order val="20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Frec'!$S$136:$S$156</c:f>
              <c:numCache>
                <c:formatCode>0.00</c:formatCode>
                <c:ptCount val="21"/>
                <c:pt idx="0">
                  <c:v>86.334530548615888</c:v>
                </c:pt>
                <c:pt idx="1">
                  <c:v>89.834457751476407</c:v>
                </c:pt>
                <c:pt idx="2">
                  <c:v>95.41781262195471</c:v>
                </c:pt>
                <c:pt idx="3">
                  <c:v>89.766342365380495</c:v>
                </c:pt>
                <c:pt idx="4">
                  <c:v>90.957123619137391</c:v>
                </c:pt>
                <c:pt idx="5">
                  <c:v>92.074796337069884</c:v>
                </c:pt>
                <c:pt idx="6">
                  <c:v>95.428023309418649</c:v>
                </c:pt>
                <c:pt idx="7">
                  <c:v>92.934385184085727</c:v>
                </c:pt>
                <c:pt idx="8">
                  <c:v>98.715053002039596</c:v>
                </c:pt>
                <c:pt idx="9">
                  <c:v>102.39585005153309</c:v>
                </c:pt>
                <c:pt idx="10">
                  <c:v>101.06620248158772</c:v>
                </c:pt>
                <c:pt idx="11">
                  <c:v>101.74283155527982</c:v>
                </c:pt>
                <c:pt idx="12">
                  <c:v>97.925270029992774</c:v>
                </c:pt>
                <c:pt idx="13">
                  <c:v>98.734252279455006</c:v>
                </c:pt>
                <c:pt idx="14">
                  <c:v>95.710289528875634</c:v>
                </c:pt>
                <c:pt idx="15">
                  <c:v>95.929601864381269</c:v>
                </c:pt>
                <c:pt idx="16">
                  <c:v>96.66308756308122</c:v>
                </c:pt>
                <c:pt idx="17">
                  <c:v>97.115761366757482</c:v>
                </c:pt>
                <c:pt idx="18">
                  <c:v>95.129673126972079</c:v>
                </c:pt>
                <c:pt idx="19">
                  <c:v>90.837846770431057</c:v>
                </c:pt>
                <c:pt idx="20">
                  <c:v>89.708046934821382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3EE-DA4E-B40B-A1B2F58AACA4}"/>
            </c:ext>
          </c:extLst>
        </c:ser>
        <c:ser>
          <c:idx val="10"/>
          <c:order val="21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Frec'!$T$136:$T$156</c:f>
              <c:numCache>
                <c:formatCode>0.00</c:formatCode>
                <c:ptCount val="21"/>
                <c:pt idx="0">
                  <c:v>70.388628232399853</c:v>
                </c:pt>
                <c:pt idx="1">
                  <c:v>75.092467182155801</c:v>
                </c:pt>
                <c:pt idx="2">
                  <c:v>83.465417867372523</c:v>
                </c:pt>
                <c:pt idx="3">
                  <c:v>88.750856571614122</c:v>
                </c:pt>
                <c:pt idx="4">
                  <c:v>88.838520068162296</c:v>
                </c:pt>
                <c:pt idx="5">
                  <c:v>100.67327406286401</c:v>
                </c:pt>
                <c:pt idx="6">
                  <c:v>99.052820957397572</c:v>
                </c:pt>
                <c:pt idx="7">
                  <c:v>101.89530814407219</c:v>
                </c:pt>
                <c:pt idx="8">
                  <c:v>100.5370927033601</c:v>
                </c:pt>
                <c:pt idx="9">
                  <c:v>103.49666707037974</c:v>
                </c:pt>
                <c:pt idx="10">
                  <c:v>100.15221033340845</c:v>
                </c:pt>
                <c:pt idx="11">
                  <c:v>101.02315561814412</c:v>
                </c:pt>
                <c:pt idx="12">
                  <c:v>100.74278038292982</c:v>
                </c:pt>
                <c:pt idx="13">
                  <c:v>98.962460741584678</c:v>
                </c:pt>
                <c:pt idx="14">
                  <c:v>96.985578741669542</c:v>
                </c:pt>
                <c:pt idx="15">
                  <c:v>95.550884395356647</c:v>
                </c:pt>
                <c:pt idx="16">
                  <c:v>95.649005466037323</c:v>
                </c:pt>
                <c:pt idx="17">
                  <c:v>97.15032935074592</c:v>
                </c:pt>
                <c:pt idx="18">
                  <c:v>94.788030647937163</c:v>
                </c:pt>
                <c:pt idx="19">
                  <c:v>91.12201882676635</c:v>
                </c:pt>
                <c:pt idx="20">
                  <c:v>90.668482788607605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3EE-DA4E-B40B-A1B2F58A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42242683110128"/>
          <c:y val="0.3562838355791681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Niveles de cada posición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9670335084042387"/>
          <c:h val="0.78841387206931512"/>
        </c:manualLayout>
      </c:layout>
      <c:scatterChart>
        <c:scatterStyle val="lineMarker"/>
        <c:varyColors val="0"/>
        <c:ser>
          <c:idx val="2"/>
          <c:order val="0"/>
          <c:tx>
            <c:v>L1 hab sup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Frec'!$M$6:$M$26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C-5D43-890D-EAF99583B8A1}"/>
            </c:ext>
          </c:extLst>
        </c:ser>
        <c:ser>
          <c:idx val="0"/>
          <c:order val="1"/>
          <c:tx>
            <c:v>L2 hab sup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Frec'!$V$6:$V$26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C-5D43-890D-EAF99583B8A1}"/>
            </c:ext>
          </c:extLst>
        </c:ser>
        <c:ser>
          <c:idx val="1"/>
          <c:order val="2"/>
          <c:tx>
            <c:v>L1 escaleras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Frec'!$M$32:$M$52</c:f>
              <c:numCache>
                <c:formatCode>0.0</c:formatCode>
                <c:ptCount val="21"/>
                <c:pt idx="0">
                  <c:v>72.641010619606988</c:v>
                </c:pt>
                <c:pt idx="1">
                  <c:v>71.914584451858062</c:v>
                </c:pt>
                <c:pt idx="2">
                  <c:v>84.941860930615377</c:v>
                </c:pt>
                <c:pt idx="3">
                  <c:v>78.558868239726365</c:v>
                </c:pt>
                <c:pt idx="4">
                  <c:v>79.10738230819544</c:v>
                </c:pt>
                <c:pt idx="5">
                  <c:v>79.161883710248901</c:v>
                </c:pt>
                <c:pt idx="6">
                  <c:v>83.610766000109493</c:v>
                </c:pt>
                <c:pt idx="7">
                  <c:v>80.81759560779571</c:v>
                </c:pt>
                <c:pt idx="8">
                  <c:v>82.167617538218153</c:v>
                </c:pt>
                <c:pt idx="9">
                  <c:v>77.73445560488112</c:v>
                </c:pt>
                <c:pt idx="10">
                  <c:v>76.210894250399278</c:v>
                </c:pt>
                <c:pt idx="11">
                  <c:v>74.724546781159404</c:v>
                </c:pt>
                <c:pt idx="12">
                  <c:v>74.222435228174405</c:v>
                </c:pt>
                <c:pt idx="13">
                  <c:v>72.531901701864896</c:v>
                </c:pt>
                <c:pt idx="14">
                  <c:v>70.865724856524878</c:v>
                </c:pt>
                <c:pt idx="15">
                  <c:v>69.816559492104318</c:v>
                </c:pt>
                <c:pt idx="16">
                  <c:v>70.192966399797342</c:v>
                </c:pt>
                <c:pt idx="17">
                  <c:v>74.517581132881617</c:v>
                </c:pt>
                <c:pt idx="18">
                  <c:v>74.4755031363824</c:v>
                </c:pt>
                <c:pt idx="19">
                  <c:v>69.853334112389319</c:v>
                </c:pt>
                <c:pt idx="20">
                  <c:v>65.532625240478296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C-5D43-890D-EAF99583B8A1}"/>
            </c:ext>
          </c:extLst>
        </c:ser>
        <c:ser>
          <c:idx val="3"/>
          <c:order val="3"/>
          <c:tx>
            <c:v>L2 escaleras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Frec'!$V$32:$V$52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C-5D43-890D-EAF99583B8A1}"/>
            </c:ext>
          </c:extLst>
        </c:ser>
        <c:ser>
          <c:idx val="4"/>
          <c:order val="4"/>
          <c:tx>
            <c:v>L1 cocina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Frec'!$M$58:$M$78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C-5D43-890D-EAF99583B8A1}"/>
            </c:ext>
          </c:extLst>
        </c:ser>
        <c:ser>
          <c:idx val="5"/>
          <c:order val="5"/>
          <c:tx>
            <c:v>L2 cocina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Frec'!$V$58:$V$78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3C-5D43-890D-EAF99583B8A1}"/>
            </c:ext>
          </c:extLst>
        </c:ser>
        <c:ser>
          <c:idx val="6"/>
          <c:order val="6"/>
          <c:tx>
            <c:v>L1 salón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Frec'!$M$84:$M$104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3C-5D43-890D-EAF99583B8A1}"/>
            </c:ext>
          </c:extLst>
        </c:ser>
        <c:ser>
          <c:idx val="7"/>
          <c:order val="7"/>
          <c:tx>
            <c:v>L2 salón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Frec'!$V$84:$V$104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3C-5D43-890D-EAF99583B8A1}"/>
            </c:ext>
          </c:extLst>
        </c:ser>
        <c:ser>
          <c:idx val="8"/>
          <c:order val="8"/>
          <c:tx>
            <c:v>L1 hab inf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Frec'!$M$110:$M$130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31.388756583947824</c:v>
                </c:pt>
                <c:pt idx="15">
                  <c:v>30.731937394773261</c:v>
                </c:pt>
                <c:pt idx="16">
                  <c:v>29.889388723128135</c:v>
                </c:pt>
                <c:pt idx="17">
                  <c:v>32.686168670258262</c:v>
                </c:pt>
                <c:pt idx="18">
                  <c:v>34.716466350192896</c:v>
                </c:pt>
                <c:pt idx="19">
                  <c:v>31.275575599272507</c:v>
                </c:pt>
                <c:pt idx="20">
                  <c:v>29.934693256289442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3C-5D43-890D-EAF99583B8A1}"/>
            </c:ext>
          </c:extLst>
        </c:ser>
        <c:ser>
          <c:idx val="9"/>
          <c:order val="9"/>
          <c:tx>
            <c:v>L2 hab inf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Frec'!$V$110:$V$130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32.729938532185329</c:v>
                </c:pt>
                <c:pt idx="14">
                  <c:v>30.437471542083866</c:v>
                </c:pt>
                <c:pt idx="15">
                  <c:v>30.267593247491487</c:v>
                </c:pt>
                <c:pt idx="16">
                  <c:v>29.132376066896178</c:v>
                </c:pt>
                <c:pt idx="17">
                  <c:v>31.117491715439304</c:v>
                </c:pt>
                <c:pt idx="18">
                  <c:v>32.315969572335405</c:v>
                </c:pt>
                <c:pt idx="19">
                  <c:v>29.618577376529323</c:v>
                </c:pt>
                <c:pt idx="20">
                  <c:v>29.349072297611901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3C-5D43-890D-EAF99583B8A1}"/>
            </c:ext>
          </c:extLst>
        </c:ser>
        <c:ser>
          <c:idx val="10"/>
          <c:order val="10"/>
          <c:tx>
            <c:v>L1 Recepción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Frec'!$M$136:$M$156</c:f>
              <c:numCache>
                <c:formatCode>0.0</c:formatCode>
                <c:ptCount val="21"/>
                <c:pt idx="0">
                  <c:v>82.132292621429713</c:v>
                </c:pt>
                <c:pt idx="1">
                  <c:v>88.310856956242446</c:v>
                </c:pt>
                <c:pt idx="2">
                  <c:v>91.015487650389446</c:v>
                </c:pt>
                <c:pt idx="3">
                  <c:v>86.431467622932004</c:v>
                </c:pt>
                <c:pt idx="4">
                  <c:v>90.655633621340854</c:v>
                </c:pt>
                <c:pt idx="5">
                  <c:v>95.808701774882394</c:v>
                </c:pt>
                <c:pt idx="6">
                  <c:v>100.47422799316259</c:v>
                </c:pt>
                <c:pt idx="7">
                  <c:v>103.80847244544026</c:v>
                </c:pt>
                <c:pt idx="8">
                  <c:v>102.6372922190758</c:v>
                </c:pt>
                <c:pt idx="9">
                  <c:v>102.94377387021768</c:v>
                </c:pt>
                <c:pt idx="10">
                  <c:v>101.01556020621683</c:v>
                </c:pt>
                <c:pt idx="11">
                  <c:v>100.30590032935278</c:v>
                </c:pt>
                <c:pt idx="12">
                  <c:v>100.00701942291592</c:v>
                </c:pt>
                <c:pt idx="13">
                  <c:v>99.43479692586493</c:v>
                </c:pt>
                <c:pt idx="14">
                  <c:v>96.943613386223944</c:v>
                </c:pt>
                <c:pt idx="15">
                  <c:v>96.310592484720047</c:v>
                </c:pt>
                <c:pt idx="16">
                  <c:v>96.339095098131665</c:v>
                </c:pt>
                <c:pt idx="17">
                  <c:v>97.690323218009212</c:v>
                </c:pt>
                <c:pt idx="18">
                  <c:v>94.948039538528775</c:v>
                </c:pt>
                <c:pt idx="19">
                  <c:v>91.671707665190198</c:v>
                </c:pt>
                <c:pt idx="20">
                  <c:v>90.434424856601353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3C-5D43-890D-EAF99583B8A1}"/>
            </c:ext>
          </c:extLst>
        </c:ser>
        <c:ser>
          <c:idx val="11"/>
          <c:order val="11"/>
          <c:tx>
            <c:v>L2 Recepción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Frec'!$V$136:$V$156</c:f>
              <c:numCache>
                <c:formatCode>0.0</c:formatCode>
                <c:ptCount val="21"/>
                <c:pt idx="0">
                  <c:v>82.031487789706134</c:v>
                </c:pt>
                <c:pt idx="1">
                  <c:v>84.926320880289765</c:v>
                </c:pt>
                <c:pt idx="2">
                  <c:v>92.31282432570346</c:v>
                </c:pt>
                <c:pt idx="3">
                  <c:v>89.281706899882906</c:v>
                </c:pt>
                <c:pt idx="4">
                  <c:v>90.726328452967522</c:v>
                </c:pt>
                <c:pt idx="5">
                  <c:v>99.78235359811535</c:v>
                </c:pt>
                <c:pt idx="6">
                  <c:v>99.310550125029948</c:v>
                </c:pt>
                <c:pt idx="7">
                  <c:v>100.28524536613884</c:v>
                </c:pt>
                <c:pt idx="8">
                  <c:v>102.04222928805258</c:v>
                </c:pt>
                <c:pt idx="9">
                  <c:v>102.06166313032973</c:v>
                </c:pt>
                <c:pt idx="10">
                  <c:v>101.22517207481599</c:v>
                </c:pt>
                <c:pt idx="11">
                  <c:v>101.06695423228004</c:v>
                </c:pt>
                <c:pt idx="12">
                  <c:v>99.397664924240672</c:v>
                </c:pt>
                <c:pt idx="13">
                  <c:v>98.614582815526859</c:v>
                </c:pt>
                <c:pt idx="14">
                  <c:v>96.938807618099233</c:v>
                </c:pt>
                <c:pt idx="15">
                  <c:v>95.758208487809199</c:v>
                </c:pt>
                <c:pt idx="16">
                  <c:v>95.723820328479519</c:v>
                </c:pt>
                <c:pt idx="17">
                  <c:v>97.498907411787471</c:v>
                </c:pt>
                <c:pt idx="18">
                  <c:v>95.202465835333484</c:v>
                </c:pt>
                <c:pt idx="19">
                  <c:v>91.39499958759076</c:v>
                </c:pt>
                <c:pt idx="20">
                  <c:v>90.149547037188398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3C-5D43-890D-EAF99583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8.2826379205250447E-2"/>
          <c:h val="0.4931201652234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Escaleras - Emisor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Frec'!$G$162:$G$182</c:f>
              <c:numCache>
                <c:formatCode>0.00</c:formatCode>
                <c:ptCount val="21"/>
                <c:pt idx="0">
                  <c:v>79.092959419272063</c:v>
                </c:pt>
                <c:pt idx="1">
                  <c:v>79.092959419272063</c:v>
                </c:pt>
                <c:pt idx="2">
                  <c:v>90.959914449247748</c:v>
                </c:pt>
                <c:pt idx="3">
                  <c:v>90.296081686783921</c:v>
                </c:pt>
                <c:pt idx="4">
                  <c:v>95.626225851707929</c:v>
                </c:pt>
                <c:pt idx="5">
                  <c:v>97.725192430444082</c:v>
                </c:pt>
                <c:pt idx="6">
                  <c:v>101.76591545629906</c:v>
                </c:pt>
                <c:pt idx="7">
                  <c:v>101.65376197606409</c:v>
                </c:pt>
                <c:pt idx="8">
                  <c:v>99.048583711126184</c:v>
                </c:pt>
                <c:pt idx="9">
                  <c:v>105.55935978147919</c:v>
                </c:pt>
                <c:pt idx="10">
                  <c:v>104.3433969912947</c:v>
                </c:pt>
                <c:pt idx="11">
                  <c:v>101.55576492726634</c:v>
                </c:pt>
                <c:pt idx="12">
                  <c:v>103.56635738160675</c:v>
                </c:pt>
                <c:pt idx="13">
                  <c:v>101.88191874627231</c:v>
                </c:pt>
                <c:pt idx="14">
                  <c:v>99.136452073538564</c:v>
                </c:pt>
                <c:pt idx="15">
                  <c:v>97.224674185304352</c:v>
                </c:pt>
                <c:pt idx="16">
                  <c:v>94.834712482420031</c:v>
                </c:pt>
                <c:pt idx="17">
                  <c:v>94.965967996293486</c:v>
                </c:pt>
                <c:pt idx="18">
                  <c:v>96.920709924581033</c:v>
                </c:pt>
                <c:pt idx="19">
                  <c:v>95.318000534589729</c:v>
                </c:pt>
                <c:pt idx="20">
                  <c:v>92.21257168610741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E-1E44-A392-3782678DE330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Frec'!$H$162:$H$182</c:f>
              <c:numCache>
                <c:formatCode>0.00</c:formatCode>
                <c:ptCount val="21"/>
                <c:pt idx="0">
                  <c:v>83.149811142413782</c:v>
                </c:pt>
                <c:pt idx="1">
                  <c:v>83.149811142413782</c:v>
                </c:pt>
                <c:pt idx="2">
                  <c:v>92.806925250746914</c:v>
                </c:pt>
                <c:pt idx="3">
                  <c:v>96.839037561543336</c:v>
                </c:pt>
                <c:pt idx="4">
                  <c:v>92.418117614421732</c:v>
                </c:pt>
                <c:pt idx="5">
                  <c:v>95.01175365329739</c:v>
                </c:pt>
                <c:pt idx="6">
                  <c:v>99.449095443036299</c:v>
                </c:pt>
                <c:pt idx="7">
                  <c:v>98.88095782730197</c:v>
                </c:pt>
                <c:pt idx="8">
                  <c:v>100.3262115965067</c:v>
                </c:pt>
                <c:pt idx="9">
                  <c:v>104.27215514001432</c:v>
                </c:pt>
                <c:pt idx="10">
                  <c:v>101.84346614462596</c:v>
                </c:pt>
                <c:pt idx="11">
                  <c:v>99.9477285312487</c:v>
                </c:pt>
                <c:pt idx="12">
                  <c:v>101.06965831151781</c:v>
                </c:pt>
                <c:pt idx="13">
                  <c:v>99.413455290747919</c:v>
                </c:pt>
                <c:pt idx="14">
                  <c:v>98.782299801984436</c:v>
                </c:pt>
                <c:pt idx="15">
                  <c:v>98.254852071919203</c:v>
                </c:pt>
                <c:pt idx="16">
                  <c:v>94.109800333676873</c:v>
                </c:pt>
                <c:pt idx="17">
                  <c:v>94.762245536378472</c:v>
                </c:pt>
                <c:pt idx="18">
                  <c:v>96.504280090332031</c:v>
                </c:pt>
                <c:pt idx="19">
                  <c:v>94.359807490035436</c:v>
                </c:pt>
                <c:pt idx="20">
                  <c:v>90.60489799830637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E-1E44-A392-3782678DE330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Frec'!$I$162:$I$182</c:f>
              <c:numCache>
                <c:formatCode>0.00</c:formatCode>
                <c:ptCount val="21"/>
                <c:pt idx="0">
                  <c:v>81.633491182549051</c:v>
                </c:pt>
                <c:pt idx="1">
                  <c:v>81.633491182549051</c:v>
                </c:pt>
                <c:pt idx="2">
                  <c:v>95.483160812023073</c:v>
                </c:pt>
                <c:pt idx="3">
                  <c:v>97.638842056629272</c:v>
                </c:pt>
                <c:pt idx="4">
                  <c:v>95.220653792980102</c:v>
                </c:pt>
                <c:pt idx="5">
                  <c:v>90.245159244980925</c:v>
                </c:pt>
                <c:pt idx="6">
                  <c:v>100.82647485067677</c:v>
                </c:pt>
                <c:pt idx="7">
                  <c:v>95.088804903252182</c:v>
                </c:pt>
                <c:pt idx="8">
                  <c:v>99.465888487350114</c:v>
                </c:pt>
                <c:pt idx="9">
                  <c:v>102.914374744504</c:v>
                </c:pt>
                <c:pt idx="10">
                  <c:v>100.14294003508812</c:v>
                </c:pt>
                <c:pt idx="11">
                  <c:v>100.54387461107831</c:v>
                </c:pt>
                <c:pt idx="12">
                  <c:v>102.76069053472474</c:v>
                </c:pt>
                <c:pt idx="13">
                  <c:v>99.965429133925326</c:v>
                </c:pt>
                <c:pt idx="14">
                  <c:v>96.37643038017805</c:v>
                </c:pt>
                <c:pt idx="15">
                  <c:v>96.801504204328666</c:v>
                </c:pt>
                <c:pt idx="16">
                  <c:v>94.514946303256721</c:v>
                </c:pt>
                <c:pt idx="17">
                  <c:v>94.464729536189594</c:v>
                </c:pt>
                <c:pt idx="18">
                  <c:v>96.314389648437498</c:v>
                </c:pt>
                <c:pt idx="19">
                  <c:v>93.99417249812636</c:v>
                </c:pt>
                <c:pt idx="20">
                  <c:v>90.287851406363558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E-1E44-A392-3782678DE330}"/>
            </c:ext>
          </c:extLst>
        </c:ser>
        <c:ser>
          <c:idx val="5"/>
          <c:order val="3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Frec'!$C$32:$C$52</c:f>
              <c:numCache>
                <c:formatCode>0.00</c:formatCode>
                <c:ptCount val="21"/>
                <c:pt idx="0">
                  <c:v>28.254371115550903</c:v>
                </c:pt>
                <c:pt idx="1">
                  <c:v>20.958510761675626</c:v>
                </c:pt>
                <c:pt idx="2">
                  <c:v>20.581794400146041</c:v>
                </c:pt>
                <c:pt idx="3">
                  <c:v>21.080927309782609</c:v>
                </c:pt>
                <c:pt idx="4">
                  <c:v>21.410328520668877</c:v>
                </c:pt>
                <c:pt idx="5">
                  <c:v>20.707785774544242</c:v>
                </c:pt>
                <c:pt idx="6">
                  <c:v>20.671427330533088</c:v>
                </c:pt>
                <c:pt idx="7">
                  <c:v>20.990640870614904</c:v>
                </c:pt>
                <c:pt idx="8">
                  <c:v>20.802814847605241</c:v>
                </c:pt>
                <c:pt idx="9">
                  <c:v>21.34892895832154</c:v>
                </c:pt>
                <c:pt idx="10">
                  <c:v>21.626016778070568</c:v>
                </c:pt>
                <c:pt idx="11">
                  <c:v>22.256093413357572</c:v>
                </c:pt>
                <c:pt idx="12">
                  <c:v>22.648568699325342</c:v>
                </c:pt>
                <c:pt idx="13">
                  <c:v>23.166978794595469</c:v>
                </c:pt>
                <c:pt idx="14">
                  <c:v>23.928737329400104</c:v>
                </c:pt>
                <c:pt idx="15">
                  <c:v>24.551068043363266</c:v>
                </c:pt>
                <c:pt idx="16">
                  <c:v>25.51529498491886</c:v>
                </c:pt>
                <c:pt idx="17">
                  <c:v>26.36517041662465</c:v>
                </c:pt>
                <c:pt idx="18">
                  <c:v>26.968118914083583</c:v>
                </c:pt>
                <c:pt idx="19">
                  <c:v>28.001040560035889</c:v>
                </c:pt>
                <c:pt idx="20">
                  <c:v>28.912661262180496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E-1E44-A392-3782678DE330}"/>
            </c:ext>
          </c:extLst>
        </c:ser>
        <c:ser>
          <c:idx val="6"/>
          <c:order val="4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Frec'!$P$162:$P$182</c:f>
              <c:numCache>
                <c:formatCode>0.00</c:formatCode>
                <c:ptCount val="21"/>
                <c:pt idx="0">
                  <c:v>79.900993727932573</c:v>
                </c:pt>
                <c:pt idx="1">
                  <c:v>90.751772776549046</c:v>
                </c:pt>
                <c:pt idx="2">
                  <c:v>90.303572578923763</c:v>
                </c:pt>
                <c:pt idx="3">
                  <c:v>95.904093292856828</c:v>
                </c:pt>
                <c:pt idx="4">
                  <c:v>97.450266628300639</c:v>
                </c:pt>
                <c:pt idx="5">
                  <c:v>102.65279194519833</c:v>
                </c:pt>
                <c:pt idx="6">
                  <c:v>102.36722708541673</c:v>
                </c:pt>
                <c:pt idx="7">
                  <c:v>97.766923287439255</c:v>
                </c:pt>
                <c:pt idx="8">
                  <c:v>103.87255272010337</c:v>
                </c:pt>
                <c:pt idx="9">
                  <c:v>104.54250662163754</c:v>
                </c:pt>
                <c:pt idx="10">
                  <c:v>101.1692827334025</c:v>
                </c:pt>
                <c:pt idx="11">
                  <c:v>102.65169580145816</c:v>
                </c:pt>
                <c:pt idx="12">
                  <c:v>100.92938680877968</c:v>
                </c:pt>
                <c:pt idx="13">
                  <c:v>100.05770101212309</c:v>
                </c:pt>
                <c:pt idx="14">
                  <c:v>97.272234728067502</c:v>
                </c:pt>
                <c:pt idx="15">
                  <c:v>95.909856306206493</c:v>
                </c:pt>
                <c:pt idx="16">
                  <c:v>95.741189727501151</c:v>
                </c:pt>
                <c:pt idx="17">
                  <c:v>97.505512399726342</c:v>
                </c:pt>
                <c:pt idx="18">
                  <c:v>95.391077447069776</c:v>
                </c:pt>
                <c:pt idx="19">
                  <c:v>91.546067800186918</c:v>
                </c:pt>
                <c:pt idx="20">
                  <c:v>90.275203479195696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0E-1E44-A392-3782678DE330}"/>
            </c:ext>
          </c:extLst>
        </c:ser>
        <c:ser>
          <c:idx val="7"/>
          <c:order val="5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Frec'!$Q$162:$Q$182</c:f>
              <c:numCache>
                <c:formatCode>0.00</c:formatCode>
                <c:ptCount val="21"/>
                <c:pt idx="0">
                  <c:v>81.965184522498774</c:v>
                </c:pt>
                <c:pt idx="1">
                  <c:v>91.98087587187382</c:v>
                </c:pt>
                <c:pt idx="2">
                  <c:v>93.150044153607084</c:v>
                </c:pt>
                <c:pt idx="3">
                  <c:v>97.030537552748967</c:v>
                </c:pt>
                <c:pt idx="4">
                  <c:v>96.054317855478786</c:v>
                </c:pt>
                <c:pt idx="5">
                  <c:v>107.55359195171395</c:v>
                </c:pt>
                <c:pt idx="6">
                  <c:v>104.6689437025624</c:v>
                </c:pt>
                <c:pt idx="7">
                  <c:v>105.98435236826664</c:v>
                </c:pt>
                <c:pt idx="8">
                  <c:v>106.65615379554328</c:v>
                </c:pt>
                <c:pt idx="9">
                  <c:v>107.99291822645399</c:v>
                </c:pt>
                <c:pt idx="10">
                  <c:v>106.87829577733599</c:v>
                </c:pt>
                <c:pt idx="11">
                  <c:v>106.83260695940974</c:v>
                </c:pt>
                <c:pt idx="12">
                  <c:v>105.72429737479301</c:v>
                </c:pt>
                <c:pt idx="13">
                  <c:v>102.68630759188441</c:v>
                </c:pt>
                <c:pt idx="14">
                  <c:v>101.71926413285854</c:v>
                </c:pt>
                <c:pt idx="15">
                  <c:v>99.403028272669744</c:v>
                </c:pt>
                <c:pt idx="16">
                  <c:v>99.848200009984467</c:v>
                </c:pt>
                <c:pt idx="17">
                  <c:v>100.65860672068307</c:v>
                </c:pt>
                <c:pt idx="18">
                  <c:v>98.701806532346012</c:v>
                </c:pt>
                <c:pt idx="19">
                  <c:v>94.64424519400859</c:v>
                </c:pt>
                <c:pt idx="20">
                  <c:v>93.017006404816158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0E-1E44-A392-3782678DE330}"/>
            </c:ext>
          </c:extLst>
        </c:ser>
        <c:ser>
          <c:idx val="8"/>
          <c:order val="6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Frec'!$R$162:$R$182</c:f>
              <c:numCache>
                <c:formatCode>0.00</c:formatCode>
                <c:ptCount val="21"/>
                <c:pt idx="0">
                  <c:v>92.604641453701902</c:v>
                </c:pt>
                <c:pt idx="1">
                  <c:v>101.32113295711584</c:v>
                </c:pt>
                <c:pt idx="2">
                  <c:v>96.303251586410568</c:v>
                </c:pt>
                <c:pt idx="3">
                  <c:v>96.227653195724699</c:v>
                </c:pt>
                <c:pt idx="4">
                  <c:v>97.810782777836948</c:v>
                </c:pt>
                <c:pt idx="5">
                  <c:v>108.78699938864145</c:v>
                </c:pt>
                <c:pt idx="6">
                  <c:v>102.4353287694216</c:v>
                </c:pt>
                <c:pt idx="7">
                  <c:v>102.79811585703429</c:v>
                </c:pt>
                <c:pt idx="8">
                  <c:v>103.0522753945411</c:v>
                </c:pt>
                <c:pt idx="9">
                  <c:v>107.01439321292419</c:v>
                </c:pt>
                <c:pt idx="10">
                  <c:v>105.67336101164848</c:v>
                </c:pt>
                <c:pt idx="11">
                  <c:v>103.81402809569641</c:v>
                </c:pt>
                <c:pt idx="12">
                  <c:v>102.75530668795382</c:v>
                </c:pt>
                <c:pt idx="13">
                  <c:v>99.916842571646654</c:v>
                </c:pt>
                <c:pt idx="14">
                  <c:v>99.161635562326794</c:v>
                </c:pt>
                <c:pt idx="15">
                  <c:v>99.624926573196532</c:v>
                </c:pt>
                <c:pt idx="16">
                  <c:v>96.62522156712771</c:v>
                </c:pt>
                <c:pt idx="17">
                  <c:v>99.51778295081651</c:v>
                </c:pt>
                <c:pt idx="18">
                  <c:v>96.48088099604675</c:v>
                </c:pt>
                <c:pt idx="19">
                  <c:v>94.190177777619894</c:v>
                </c:pt>
                <c:pt idx="20">
                  <c:v>93.113593271956546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0E-1E44-A392-3782678D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42242683110128"/>
          <c:y val="0.3562838355791681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Salón - Emisor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Frec'!$G$213:$G$233</c:f>
              <c:numCache>
                <c:formatCode>0.00</c:formatCode>
                <c:ptCount val="21"/>
                <c:pt idx="0">
                  <c:v>86</c:v>
                </c:pt>
                <c:pt idx="1">
                  <c:v>93</c:v>
                </c:pt>
                <c:pt idx="2">
                  <c:v>89.1</c:v>
                </c:pt>
                <c:pt idx="3">
                  <c:v>80.2</c:v>
                </c:pt>
                <c:pt idx="4">
                  <c:v>92.2</c:v>
                </c:pt>
                <c:pt idx="5">
                  <c:v>99.2</c:v>
                </c:pt>
                <c:pt idx="6">
                  <c:v>99.9</c:v>
                </c:pt>
                <c:pt idx="7">
                  <c:v>100.6</c:v>
                </c:pt>
                <c:pt idx="8">
                  <c:v>102.39969116152474</c:v>
                </c:pt>
                <c:pt idx="9">
                  <c:v>102.5</c:v>
                </c:pt>
                <c:pt idx="10">
                  <c:v>101.4</c:v>
                </c:pt>
                <c:pt idx="11">
                  <c:v>101.3</c:v>
                </c:pt>
                <c:pt idx="12">
                  <c:v>101</c:v>
                </c:pt>
                <c:pt idx="13">
                  <c:v>99.9</c:v>
                </c:pt>
                <c:pt idx="14">
                  <c:v>97.5</c:v>
                </c:pt>
                <c:pt idx="15">
                  <c:v>95.4</c:v>
                </c:pt>
                <c:pt idx="16">
                  <c:v>96.1</c:v>
                </c:pt>
                <c:pt idx="17">
                  <c:v>99.1</c:v>
                </c:pt>
                <c:pt idx="18">
                  <c:v>96.8</c:v>
                </c:pt>
                <c:pt idx="19">
                  <c:v>91.8</c:v>
                </c:pt>
                <c:pt idx="20">
                  <c:v>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8-DF44-906D-4A7B0991FC0E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Frec'!$H$213:$H$233</c:f>
              <c:numCache>
                <c:formatCode>0.00</c:formatCode>
                <c:ptCount val="21"/>
                <c:pt idx="0">
                  <c:v>83.123510114723274</c:v>
                </c:pt>
                <c:pt idx="1">
                  <c:v>86.114745145423385</c:v>
                </c:pt>
                <c:pt idx="2">
                  <c:v>90.158799101927571</c:v>
                </c:pt>
                <c:pt idx="3">
                  <c:v>86.53137559979875</c:v>
                </c:pt>
                <c:pt idx="4">
                  <c:v>90.683369816575095</c:v>
                </c:pt>
                <c:pt idx="5">
                  <c:v>98.276448572461845</c:v>
                </c:pt>
                <c:pt idx="6">
                  <c:v>103.18007895211193</c:v>
                </c:pt>
                <c:pt idx="7">
                  <c:v>105.47880425141237</c:v>
                </c:pt>
                <c:pt idx="8">
                  <c:v>102.61549303999571</c:v>
                </c:pt>
                <c:pt idx="9">
                  <c:v>102.5</c:v>
                </c:pt>
                <c:pt idx="10">
                  <c:v>102.57454388342171</c:v>
                </c:pt>
                <c:pt idx="11">
                  <c:v>100.1758442317214</c:v>
                </c:pt>
                <c:pt idx="12">
                  <c:v>98.856015913063118</c:v>
                </c:pt>
                <c:pt idx="13">
                  <c:v>99.625883726316076</c:v>
                </c:pt>
                <c:pt idx="14">
                  <c:v>97.888356638400353</c:v>
                </c:pt>
                <c:pt idx="15">
                  <c:v>97.603268347053884</c:v>
                </c:pt>
                <c:pt idx="16">
                  <c:v>97.694933304831252</c:v>
                </c:pt>
                <c:pt idx="17">
                  <c:v>98.007521442163764</c:v>
                </c:pt>
                <c:pt idx="18">
                  <c:v>94.20323471354547</c:v>
                </c:pt>
                <c:pt idx="19">
                  <c:v>92.351475524902341</c:v>
                </c:pt>
                <c:pt idx="20">
                  <c:v>91.104362502053519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8-DF44-906D-4A7B0991FC0E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Frec'!$I$213:$I$233</c:f>
              <c:numCache>
                <c:formatCode>0.00</c:formatCode>
                <c:ptCount val="21"/>
                <c:pt idx="0">
                  <c:v>87.980913635483361</c:v>
                </c:pt>
                <c:pt idx="1">
                  <c:v>90.977529561609259</c:v>
                </c:pt>
                <c:pt idx="2">
                  <c:v>92.369244489454687</c:v>
                </c:pt>
                <c:pt idx="3">
                  <c:v>90.73211324304566</c:v>
                </c:pt>
                <c:pt idx="4">
                  <c:v>92.442844806757194</c:v>
                </c:pt>
                <c:pt idx="5">
                  <c:v>99.545118095283215</c:v>
                </c:pt>
                <c:pt idx="6">
                  <c:v>107.2282868578918</c:v>
                </c:pt>
                <c:pt idx="7">
                  <c:v>106.92322936810945</c:v>
                </c:pt>
                <c:pt idx="8">
                  <c:v>105</c:v>
                </c:pt>
                <c:pt idx="9">
                  <c:v>109.1</c:v>
                </c:pt>
                <c:pt idx="10">
                  <c:v>102.78424401390821</c:v>
                </c:pt>
                <c:pt idx="11">
                  <c:v>105.7688500612302</c:v>
                </c:pt>
                <c:pt idx="12">
                  <c:v>105</c:v>
                </c:pt>
                <c:pt idx="13">
                  <c:v>100.29689618877899</c:v>
                </c:pt>
                <c:pt idx="14">
                  <c:v>99.1</c:v>
                </c:pt>
                <c:pt idx="15">
                  <c:v>98.682000203240193</c:v>
                </c:pt>
                <c:pt idx="16">
                  <c:v>98.753352107858305</c:v>
                </c:pt>
                <c:pt idx="17">
                  <c:v>100.1</c:v>
                </c:pt>
                <c:pt idx="18">
                  <c:v>98.470690368709711</c:v>
                </c:pt>
                <c:pt idx="19">
                  <c:v>95.691542539381444</c:v>
                </c:pt>
                <c:pt idx="20">
                  <c:v>93.368185681507995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8-DF44-906D-4A7B0991FC0E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Frec'!$J$213:$J$233</c:f>
              <c:numCache>
                <c:formatCode>0.00</c:formatCode>
                <c:ptCount val="21"/>
                <c:pt idx="0">
                  <c:v>75.199756914642251</c:v>
                </c:pt>
                <c:pt idx="1">
                  <c:v>83.46411587544624</c:v>
                </c:pt>
                <c:pt idx="2">
                  <c:v>90.641555959364098</c:v>
                </c:pt>
                <c:pt idx="3">
                  <c:v>89.299503654833657</c:v>
                </c:pt>
                <c:pt idx="4">
                  <c:v>90.607802153761469</c:v>
                </c:pt>
                <c:pt idx="5">
                  <c:v>91.621883663007864</c:v>
                </c:pt>
                <c:pt idx="6">
                  <c:v>96.175737653459819</c:v>
                </c:pt>
                <c:pt idx="7">
                  <c:v>104.05067718130525</c:v>
                </c:pt>
                <c:pt idx="8">
                  <c:v>101.40336061764576</c:v>
                </c:pt>
                <c:pt idx="9">
                  <c:v>103.32413372231071</c:v>
                </c:pt>
                <c:pt idx="10">
                  <c:v>98.9</c:v>
                </c:pt>
                <c:pt idx="11">
                  <c:v>97.824363232110059</c:v>
                </c:pt>
                <c:pt idx="12">
                  <c:v>99.096685360824594</c:v>
                </c:pt>
                <c:pt idx="13">
                  <c:v>99.898631634527263</c:v>
                </c:pt>
                <c:pt idx="14">
                  <c:v>96.185030248780919</c:v>
                </c:pt>
                <c:pt idx="15">
                  <c:v>94.178634910619593</c:v>
                </c:pt>
                <c:pt idx="16">
                  <c:v>96.6</c:v>
                </c:pt>
                <c:pt idx="17">
                  <c:v>96.452622398297066</c:v>
                </c:pt>
                <c:pt idx="18">
                  <c:v>94.373046882217977</c:v>
                </c:pt>
                <c:pt idx="19">
                  <c:v>90.821057019193105</c:v>
                </c:pt>
                <c:pt idx="20">
                  <c:v>89.240836577474113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8-DF44-906D-4A7B0991FC0E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Frec'!$K$213:$K$233</c:f>
              <c:numCache>
                <c:formatCode>0.00</c:formatCode>
                <c:ptCount val="21"/>
                <c:pt idx="0">
                  <c:v>86.555781080425632</c:v>
                </c:pt>
                <c:pt idx="1">
                  <c:v>90.393781812615217</c:v>
                </c:pt>
                <c:pt idx="2">
                  <c:v>95.23819189679611</c:v>
                </c:pt>
                <c:pt idx="3">
                  <c:v>85.933895637374277</c:v>
                </c:pt>
                <c:pt idx="4">
                  <c:v>86.416556578834886</c:v>
                </c:pt>
                <c:pt idx="5">
                  <c:v>100.86197477244514</c:v>
                </c:pt>
                <c:pt idx="6">
                  <c:v>99</c:v>
                </c:pt>
                <c:pt idx="7">
                  <c:v>103.68640765363438</c:v>
                </c:pt>
                <c:pt idx="8">
                  <c:v>102.56141022338286</c:v>
                </c:pt>
                <c:pt idx="9">
                  <c:v>103.35808281576372</c:v>
                </c:pt>
                <c:pt idx="10">
                  <c:v>101.1</c:v>
                </c:pt>
                <c:pt idx="11">
                  <c:v>103.32793961514982</c:v>
                </c:pt>
                <c:pt idx="12">
                  <c:v>101</c:v>
                </c:pt>
                <c:pt idx="13">
                  <c:v>100.78417875106622</c:v>
                </c:pt>
                <c:pt idx="14">
                  <c:v>102.1</c:v>
                </c:pt>
                <c:pt idx="15">
                  <c:v>98.503328325179055</c:v>
                </c:pt>
                <c:pt idx="16">
                  <c:v>96.2</c:v>
                </c:pt>
                <c:pt idx="17">
                  <c:v>100.09747297757019</c:v>
                </c:pt>
                <c:pt idx="18">
                  <c:v>96.3</c:v>
                </c:pt>
                <c:pt idx="19">
                  <c:v>94.686570934292021</c:v>
                </c:pt>
                <c:pt idx="2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8-DF44-906D-4A7B0991FC0E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Frec'!$C$84:$C$104</c:f>
              <c:numCache>
                <c:formatCode>0.00</c:formatCode>
                <c:ptCount val="21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  <c:pt idx="3">
                  <c:v>20.926107463060561</c:v>
                </c:pt>
                <c:pt idx="4">
                  <c:v>19.237478460836353</c:v>
                </c:pt>
                <c:pt idx="5">
                  <c:v>23.041133113912824</c:v>
                </c:pt>
                <c:pt idx="6">
                  <c:v>21.681998933728615</c:v>
                </c:pt>
                <c:pt idx="7">
                  <c:v>25.777995447048276</c:v>
                </c:pt>
                <c:pt idx="8">
                  <c:v>24.654969957401072</c:v>
                </c:pt>
                <c:pt idx="9">
                  <c:v>24.688685799350573</c:v>
                </c:pt>
                <c:pt idx="10">
                  <c:v>25.72086424774659</c:v>
                </c:pt>
                <c:pt idx="11">
                  <c:v>25.552571351960321</c:v>
                </c:pt>
                <c:pt idx="12">
                  <c:v>25.194272409384993</c:v>
                </c:pt>
                <c:pt idx="13">
                  <c:v>25.48027170512885</c:v>
                </c:pt>
                <c:pt idx="14">
                  <c:v>25.857837510020754</c:v>
                </c:pt>
                <c:pt idx="15">
                  <c:v>25.148234624897949</c:v>
                </c:pt>
                <c:pt idx="16">
                  <c:v>25.965268263246511</c:v>
                </c:pt>
                <c:pt idx="17">
                  <c:v>26.432142459949347</c:v>
                </c:pt>
                <c:pt idx="18">
                  <c:v>27.119830727724199</c:v>
                </c:pt>
                <c:pt idx="19">
                  <c:v>28.055639217578968</c:v>
                </c:pt>
                <c:pt idx="20">
                  <c:v>29.046637214067978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C8-DF44-906D-4A7B0991FC0E}"/>
            </c:ext>
          </c:extLst>
        </c:ser>
        <c:ser>
          <c:idx val="6"/>
          <c:order val="6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Frec'!$P$213:$P$233</c:f>
              <c:numCache>
                <c:formatCode>0.00</c:formatCode>
                <c:ptCount val="21"/>
                <c:pt idx="0">
                  <c:v>80.057120008933168</c:v>
                </c:pt>
                <c:pt idx="1">
                  <c:v>79.093252646547327</c:v>
                </c:pt>
                <c:pt idx="2">
                  <c:v>82.820581539995686</c:v>
                </c:pt>
                <c:pt idx="3">
                  <c:v>82.54241943359375</c:v>
                </c:pt>
                <c:pt idx="4">
                  <c:v>90.318446125660842</c:v>
                </c:pt>
                <c:pt idx="5">
                  <c:v>102.16405054946797</c:v>
                </c:pt>
                <c:pt idx="6">
                  <c:v>100.08203963723315</c:v>
                </c:pt>
                <c:pt idx="7">
                  <c:v>103.05628069537872</c:v>
                </c:pt>
                <c:pt idx="8">
                  <c:v>103.57878066156746</c:v>
                </c:pt>
                <c:pt idx="9">
                  <c:v>102.29772960877806</c:v>
                </c:pt>
                <c:pt idx="10">
                  <c:v>101.32755777236953</c:v>
                </c:pt>
                <c:pt idx="11">
                  <c:v>102.0639731143926</c:v>
                </c:pt>
                <c:pt idx="12">
                  <c:v>98.086578216115527</c:v>
                </c:pt>
                <c:pt idx="13">
                  <c:v>98.493062016615553</c:v>
                </c:pt>
                <c:pt idx="14">
                  <c:v>97.674552064912021</c:v>
                </c:pt>
                <c:pt idx="15">
                  <c:v>96.05450388444757</c:v>
                </c:pt>
                <c:pt idx="16">
                  <c:v>96.133978063078757</c:v>
                </c:pt>
                <c:pt idx="17">
                  <c:v>97.504595628098983</c:v>
                </c:pt>
                <c:pt idx="18">
                  <c:v>95.425948120233784</c:v>
                </c:pt>
                <c:pt idx="19">
                  <c:v>91.955886279728261</c:v>
                </c:pt>
                <c:pt idx="20">
                  <c:v>90.395335010721666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C8-DF44-906D-4A7B0991FC0E}"/>
            </c:ext>
          </c:extLst>
        </c:ser>
        <c:ser>
          <c:idx val="7"/>
          <c:order val="7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Frec'!$Q$213:$Q$233</c:f>
              <c:numCache>
                <c:formatCode>0.00</c:formatCode>
                <c:ptCount val="21"/>
                <c:pt idx="0">
                  <c:v>77.602896688612347</c:v>
                </c:pt>
                <c:pt idx="1">
                  <c:v>82.151660413373236</c:v>
                </c:pt>
                <c:pt idx="2">
                  <c:v>94.344562130079737</c:v>
                </c:pt>
                <c:pt idx="3">
                  <c:v>88.224942307445886</c:v>
                </c:pt>
                <c:pt idx="4">
                  <c:v>89.046106826754126</c:v>
                </c:pt>
                <c:pt idx="5">
                  <c:v>96.205488665108305</c:v>
                </c:pt>
                <c:pt idx="6">
                  <c:v>101.38444249274322</c:v>
                </c:pt>
                <c:pt idx="7">
                  <c:v>98.084716206756084</c:v>
                </c:pt>
                <c:pt idx="8">
                  <c:v>100.42696854115411</c:v>
                </c:pt>
                <c:pt idx="9">
                  <c:v>100.1</c:v>
                </c:pt>
                <c:pt idx="10">
                  <c:v>102</c:v>
                </c:pt>
                <c:pt idx="11">
                  <c:v>97.415841490743787</c:v>
                </c:pt>
                <c:pt idx="12">
                  <c:v>99.5</c:v>
                </c:pt>
                <c:pt idx="13">
                  <c:v>98.167160258986897</c:v>
                </c:pt>
                <c:pt idx="14">
                  <c:v>96</c:v>
                </c:pt>
                <c:pt idx="15">
                  <c:v>95.336600337019718</c:v>
                </c:pt>
                <c:pt idx="16">
                  <c:v>95</c:v>
                </c:pt>
                <c:pt idx="17">
                  <c:v>98.180902540793511</c:v>
                </c:pt>
                <c:pt idx="18">
                  <c:v>95</c:v>
                </c:pt>
                <c:pt idx="19">
                  <c:v>91.331000073399551</c:v>
                </c:pt>
                <c:pt idx="20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C8-DF44-906D-4A7B0991FC0E}"/>
            </c:ext>
          </c:extLst>
        </c:ser>
        <c:ser>
          <c:idx val="8"/>
          <c:order val="8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Frec'!$R$213:$R$233</c:f>
              <c:numCache>
                <c:formatCode>0.00</c:formatCode>
                <c:ptCount val="21"/>
                <c:pt idx="0">
                  <c:v>82.97510590091828</c:v>
                </c:pt>
                <c:pt idx="1">
                  <c:v>84.974258987455713</c:v>
                </c:pt>
                <c:pt idx="2">
                  <c:v>92.791803501136386</c:v>
                </c:pt>
                <c:pt idx="3">
                  <c:v>92.294432428349126</c:v>
                </c:pt>
                <c:pt idx="4">
                  <c:v>93.052286933450134</c:v>
                </c:pt>
                <c:pt idx="5">
                  <c:v>101.1</c:v>
                </c:pt>
                <c:pt idx="6">
                  <c:v>98.564226320617792</c:v>
                </c:pt>
                <c:pt idx="7">
                  <c:v>99.689839878842321</c:v>
                </c:pt>
                <c:pt idx="8">
                  <c:v>104.3</c:v>
                </c:pt>
                <c:pt idx="9">
                  <c:v>101.23107393326298</c:v>
                </c:pt>
                <c:pt idx="10">
                  <c:v>101.4</c:v>
                </c:pt>
                <c:pt idx="11">
                  <c:v>101.68213686861621</c:v>
                </c:pt>
                <c:pt idx="12">
                  <c:v>99.9</c:v>
                </c:pt>
                <c:pt idx="13">
                  <c:v>98.675611282435497</c:v>
                </c:pt>
                <c:pt idx="14">
                  <c:v>98.393778770200669</c:v>
                </c:pt>
                <c:pt idx="15">
                  <c:v>95.8</c:v>
                </c:pt>
                <c:pt idx="16">
                  <c:v>94.851422702564918</c:v>
                </c:pt>
                <c:pt idx="17">
                  <c:v>97.456233334043674</c:v>
                </c:pt>
                <c:pt idx="18">
                  <c:v>95.5</c:v>
                </c:pt>
                <c:pt idx="19">
                  <c:v>91.640230884588192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C8-DF44-906D-4A7B0991FC0E}"/>
            </c:ext>
          </c:extLst>
        </c:ser>
        <c:ser>
          <c:idx val="9"/>
          <c:order val="9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Frec'!$S$213:$S$233</c:f>
              <c:numCache>
                <c:formatCode>0.00</c:formatCode>
                <c:ptCount val="21"/>
                <c:pt idx="0">
                  <c:v>83</c:v>
                </c:pt>
                <c:pt idx="1">
                  <c:v>91.98087587187382</c:v>
                </c:pt>
                <c:pt idx="2">
                  <c:v>93.150044153607084</c:v>
                </c:pt>
                <c:pt idx="3">
                  <c:v>97.030537552748967</c:v>
                </c:pt>
                <c:pt idx="4">
                  <c:v>96.054317855478786</c:v>
                </c:pt>
                <c:pt idx="5">
                  <c:v>107.55359195171395</c:v>
                </c:pt>
                <c:pt idx="6">
                  <c:v>104.6</c:v>
                </c:pt>
                <c:pt idx="7">
                  <c:v>105.98435236826664</c:v>
                </c:pt>
                <c:pt idx="8">
                  <c:v>106.65615379554328</c:v>
                </c:pt>
                <c:pt idx="9">
                  <c:v>108.3</c:v>
                </c:pt>
                <c:pt idx="10">
                  <c:v>106.87829577733599</c:v>
                </c:pt>
                <c:pt idx="11">
                  <c:v>106.83260695940974</c:v>
                </c:pt>
                <c:pt idx="12">
                  <c:v>105.4</c:v>
                </c:pt>
                <c:pt idx="13">
                  <c:v>102.68630759188441</c:v>
                </c:pt>
                <c:pt idx="14">
                  <c:v>101.71926413285854</c:v>
                </c:pt>
                <c:pt idx="15">
                  <c:v>99.403028272669744</c:v>
                </c:pt>
                <c:pt idx="16">
                  <c:v>99.9</c:v>
                </c:pt>
                <c:pt idx="17">
                  <c:v>100.65860672068307</c:v>
                </c:pt>
                <c:pt idx="18">
                  <c:v>98.701806532346012</c:v>
                </c:pt>
                <c:pt idx="19">
                  <c:v>94.64424519400859</c:v>
                </c:pt>
                <c:pt idx="20">
                  <c:v>93.017006404816158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C8-DF44-906D-4A7B0991FC0E}"/>
            </c:ext>
          </c:extLst>
        </c:ser>
        <c:ser>
          <c:idx val="10"/>
          <c:order val="10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Frec'!$T$213:$T$233</c:f>
              <c:numCache>
                <c:formatCode>0.00</c:formatCode>
                <c:ptCount val="21"/>
                <c:pt idx="0">
                  <c:v>70.388628232399853</c:v>
                </c:pt>
                <c:pt idx="1">
                  <c:v>75.092467182155801</c:v>
                </c:pt>
                <c:pt idx="2">
                  <c:v>83.465417867372523</c:v>
                </c:pt>
                <c:pt idx="3">
                  <c:v>88.750856571614122</c:v>
                </c:pt>
                <c:pt idx="4">
                  <c:v>88.838520068162296</c:v>
                </c:pt>
                <c:pt idx="5">
                  <c:v>100.67327406286401</c:v>
                </c:pt>
                <c:pt idx="6">
                  <c:v>99.052820957397572</c:v>
                </c:pt>
                <c:pt idx="7">
                  <c:v>101.8</c:v>
                </c:pt>
                <c:pt idx="8">
                  <c:v>100.5370927033601</c:v>
                </c:pt>
                <c:pt idx="9">
                  <c:v>103.49666707037974</c:v>
                </c:pt>
                <c:pt idx="10">
                  <c:v>100.15221033340845</c:v>
                </c:pt>
                <c:pt idx="11">
                  <c:v>101.02315561814412</c:v>
                </c:pt>
                <c:pt idx="12">
                  <c:v>100.74278038292982</c:v>
                </c:pt>
                <c:pt idx="13">
                  <c:v>98.962460741584678</c:v>
                </c:pt>
                <c:pt idx="14">
                  <c:v>96.985578741669542</c:v>
                </c:pt>
                <c:pt idx="15">
                  <c:v>95.550884395356647</c:v>
                </c:pt>
                <c:pt idx="16">
                  <c:v>95.649005466037323</c:v>
                </c:pt>
                <c:pt idx="17">
                  <c:v>97.15032935074592</c:v>
                </c:pt>
                <c:pt idx="18">
                  <c:v>95</c:v>
                </c:pt>
                <c:pt idx="19">
                  <c:v>91.12201882676635</c:v>
                </c:pt>
                <c:pt idx="20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C8-DF44-906D-4A7B0991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42242683110128"/>
          <c:y val="0.3562838355791681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Cocina - Emisor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Frec'!$G$187:$G$207</c:f>
              <c:numCache>
                <c:formatCode>0.00</c:formatCode>
                <c:ptCount val="21"/>
                <c:pt idx="0">
                  <c:v>81.037103370843937</c:v>
                </c:pt>
                <c:pt idx="1">
                  <c:v>87.251535594851475</c:v>
                </c:pt>
                <c:pt idx="2">
                  <c:v>90.777490156306783</c:v>
                </c:pt>
                <c:pt idx="3">
                  <c:v>90.953976837867913</c:v>
                </c:pt>
                <c:pt idx="4">
                  <c:v>88.923487094613009</c:v>
                </c:pt>
                <c:pt idx="5">
                  <c:v>98.45681524942087</c:v>
                </c:pt>
                <c:pt idx="6">
                  <c:v>104.19492844692496</c:v>
                </c:pt>
                <c:pt idx="7">
                  <c:v>107.57456868016443</c:v>
                </c:pt>
                <c:pt idx="8">
                  <c:v>103.80777898034384</c:v>
                </c:pt>
                <c:pt idx="9">
                  <c:v>103.20124936835711</c:v>
                </c:pt>
                <c:pt idx="10">
                  <c:v>103.85984981803007</c:v>
                </c:pt>
                <c:pt idx="11">
                  <c:v>103.17815752606059</c:v>
                </c:pt>
                <c:pt idx="12">
                  <c:v>102.94325051241142</c:v>
                </c:pt>
                <c:pt idx="13">
                  <c:v>100.23914883635764</c:v>
                </c:pt>
                <c:pt idx="14">
                  <c:v>99.613147561716474</c:v>
                </c:pt>
                <c:pt idx="15">
                  <c:v>98.590760015443308</c:v>
                </c:pt>
                <c:pt idx="16">
                  <c:v>98.734543414448581</c:v>
                </c:pt>
                <c:pt idx="17">
                  <c:v>99.435035975256625</c:v>
                </c:pt>
                <c:pt idx="18">
                  <c:v>97.897397184150165</c:v>
                </c:pt>
                <c:pt idx="19">
                  <c:v>94.325834861577945</c:v>
                </c:pt>
                <c:pt idx="20">
                  <c:v>91.885779816383533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6642-9339-37F6DA87C9FD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Frec'!$H$187:$H$207</c:f>
              <c:numCache>
                <c:formatCode>0.00</c:formatCode>
                <c:ptCount val="21"/>
                <c:pt idx="0">
                  <c:v>69.773363505824335</c:v>
                </c:pt>
                <c:pt idx="1">
                  <c:v>82.514081730454734</c:v>
                </c:pt>
                <c:pt idx="2">
                  <c:v>91.177839923475346</c:v>
                </c:pt>
                <c:pt idx="3">
                  <c:v>87.450091501628378</c:v>
                </c:pt>
                <c:pt idx="4">
                  <c:v>89.292771875116813</c:v>
                </c:pt>
                <c:pt idx="5">
                  <c:v>96.985328411485597</c:v>
                </c:pt>
                <c:pt idx="6">
                  <c:v>101.09353049976404</c:v>
                </c:pt>
                <c:pt idx="7">
                  <c:v>103.1653101067794</c:v>
                </c:pt>
                <c:pt idx="8">
                  <c:v>103.24908775804145</c:v>
                </c:pt>
                <c:pt idx="9">
                  <c:v>103.50771377052416</c:v>
                </c:pt>
                <c:pt idx="10">
                  <c:v>104.97064116993589</c:v>
                </c:pt>
                <c:pt idx="11">
                  <c:v>102.77670731977983</c:v>
                </c:pt>
                <c:pt idx="12">
                  <c:v>99.620212668094908</c:v>
                </c:pt>
                <c:pt idx="13">
                  <c:v>100.17212704745207</c:v>
                </c:pt>
                <c:pt idx="14">
                  <c:v>98.458214163894283</c:v>
                </c:pt>
                <c:pt idx="15">
                  <c:v>98.426183607475608</c:v>
                </c:pt>
                <c:pt idx="16">
                  <c:v>97.724535548744015</c:v>
                </c:pt>
                <c:pt idx="17">
                  <c:v>98.187275892923893</c:v>
                </c:pt>
                <c:pt idx="18">
                  <c:v>97.041257524262207</c:v>
                </c:pt>
                <c:pt idx="19">
                  <c:v>93.207997124046798</c:v>
                </c:pt>
                <c:pt idx="20">
                  <c:v>91.89495202023447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7-6642-9339-37F6DA87C9FD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Frec'!$I$187:$I$207</c:f>
              <c:numCache>
                <c:formatCode>0.00</c:formatCode>
                <c:ptCount val="21"/>
                <c:pt idx="0">
                  <c:v>86.32098395931051</c:v>
                </c:pt>
                <c:pt idx="1">
                  <c:v>90.656280263506943</c:v>
                </c:pt>
                <c:pt idx="2">
                  <c:v>94.485681078300146</c:v>
                </c:pt>
                <c:pt idx="3">
                  <c:v>83.974256593539081</c:v>
                </c:pt>
                <c:pt idx="4">
                  <c:v>85.392050005389208</c:v>
                </c:pt>
                <c:pt idx="5">
                  <c:v>96.495622789145202</c:v>
                </c:pt>
                <c:pt idx="6">
                  <c:v>97.313379797676873</c:v>
                </c:pt>
                <c:pt idx="7">
                  <c:v>101.55784447957627</c:v>
                </c:pt>
                <c:pt idx="8">
                  <c:v>99.490227732853484</c:v>
                </c:pt>
                <c:pt idx="9">
                  <c:v>104.298273473099</c:v>
                </c:pt>
                <c:pt idx="10">
                  <c:v>104.97256465371056</c:v>
                </c:pt>
                <c:pt idx="11">
                  <c:v>99.917388872460563</c:v>
                </c:pt>
                <c:pt idx="12">
                  <c:v>101.2015238289148</c:v>
                </c:pt>
                <c:pt idx="13">
                  <c:v>99.492687272526439</c:v>
                </c:pt>
                <c:pt idx="14">
                  <c:v>98.852766441686398</c:v>
                </c:pt>
                <c:pt idx="15">
                  <c:v>97.814981934232563</c:v>
                </c:pt>
                <c:pt idx="16">
                  <c:v>97.594419629998029</c:v>
                </c:pt>
                <c:pt idx="17">
                  <c:v>99.094359081206605</c:v>
                </c:pt>
                <c:pt idx="18">
                  <c:v>97.103584768656432</c:v>
                </c:pt>
                <c:pt idx="19">
                  <c:v>92.94559636283897</c:v>
                </c:pt>
                <c:pt idx="20">
                  <c:v>91.533914328302004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7-6642-9339-37F6DA87C9FD}"/>
            </c:ext>
          </c:extLst>
        </c:ser>
        <c:ser>
          <c:idx val="5"/>
          <c:order val="3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Frec'!$C$58:$C$78</c:f>
              <c:numCache>
                <c:formatCode>0.00</c:formatCode>
                <c:ptCount val="21"/>
                <c:pt idx="0">
                  <c:v>30.472388961003034</c:v>
                </c:pt>
                <c:pt idx="1">
                  <c:v>22.267898348691833</c:v>
                </c:pt>
                <c:pt idx="2">
                  <c:v>20.676143210844369</c:v>
                </c:pt>
                <c:pt idx="3">
                  <c:v>21.030046320328751</c:v>
                </c:pt>
                <c:pt idx="4">
                  <c:v>20.736984988381497</c:v>
                </c:pt>
                <c:pt idx="5">
                  <c:v>22.40073432125012</c:v>
                </c:pt>
                <c:pt idx="6">
                  <c:v>21.568157594720653</c:v>
                </c:pt>
                <c:pt idx="7">
                  <c:v>21.298982481751899</c:v>
                </c:pt>
                <c:pt idx="8">
                  <c:v>21.225326991317296</c:v>
                </c:pt>
                <c:pt idx="9">
                  <c:v>21.294076292165961</c:v>
                </c:pt>
                <c:pt idx="10">
                  <c:v>21.8937600034036</c:v>
                </c:pt>
                <c:pt idx="11">
                  <c:v>22.332684398353166</c:v>
                </c:pt>
                <c:pt idx="12">
                  <c:v>22.657495194404696</c:v>
                </c:pt>
                <c:pt idx="13">
                  <c:v>23.237675766478016</c:v>
                </c:pt>
                <c:pt idx="14">
                  <c:v>23.947819154779246</c:v>
                </c:pt>
                <c:pt idx="15">
                  <c:v>24.566846696457059</c:v>
                </c:pt>
                <c:pt idx="16">
                  <c:v>25.430607861811573</c:v>
                </c:pt>
                <c:pt idx="17">
                  <c:v>26.375993667787188</c:v>
                </c:pt>
                <c:pt idx="18">
                  <c:v>26.94540861862065</c:v>
                </c:pt>
                <c:pt idx="19">
                  <c:v>28.007041962626744</c:v>
                </c:pt>
                <c:pt idx="20">
                  <c:v>28.928048955331935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7-6642-9339-37F6DA87C9FD}"/>
            </c:ext>
          </c:extLst>
        </c:ser>
        <c:ser>
          <c:idx val="6"/>
          <c:order val="4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Frec'!$P$187:$P$207</c:f>
              <c:numCache>
                <c:formatCode>0.00</c:formatCode>
                <c:ptCount val="21"/>
                <c:pt idx="0">
                  <c:v>88.580837717225776</c:v>
                </c:pt>
                <c:pt idx="1">
                  <c:v>90.14233554022907</c:v>
                </c:pt>
                <c:pt idx="2">
                  <c:v>89.608592148469469</c:v>
                </c:pt>
                <c:pt idx="3">
                  <c:v>82.663077023455315</c:v>
                </c:pt>
                <c:pt idx="4">
                  <c:v>86.347007722917056</c:v>
                </c:pt>
                <c:pt idx="5">
                  <c:v>99.300112653826858</c:v>
                </c:pt>
                <c:pt idx="6">
                  <c:v>103.11973244191554</c:v>
                </c:pt>
                <c:pt idx="7">
                  <c:v>106.91698425121682</c:v>
                </c:pt>
                <c:pt idx="8">
                  <c:v>104.075606607521</c:v>
                </c:pt>
                <c:pt idx="9">
                  <c:v>102.88817041894896</c:v>
                </c:pt>
                <c:pt idx="10">
                  <c:v>104.01217818371708</c:v>
                </c:pt>
                <c:pt idx="11">
                  <c:v>103.58723338370685</c:v>
                </c:pt>
                <c:pt idx="12">
                  <c:v>103.90996777041144</c:v>
                </c:pt>
                <c:pt idx="13">
                  <c:v>100.39587637862945</c:v>
                </c:pt>
                <c:pt idx="14">
                  <c:v>98.561943775030699</c:v>
                </c:pt>
                <c:pt idx="15">
                  <c:v>99.178125079933793</c:v>
                </c:pt>
                <c:pt idx="16">
                  <c:v>98.396718937844398</c:v>
                </c:pt>
                <c:pt idx="17">
                  <c:v>99.742124587827135</c:v>
                </c:pt>
                <c:pt idx="18">
                  <c:v>97.863061003867884</c:v>
                </c:pt>
                <c:pt idx="19">
                  <c:v>94.296003621799912</c:v>
                </c:pt>
                <c:pt idx="20">
                  <c:v>93.380406178973118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7-6642-9339-37F6DA87C9FD}"/>
            </c:ext>
          </c:extLst>
        </c:ser>
        <c:ser>
          <c:idx val="7"/>
          <c:order val="5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Frec'!$Q$187:$Q$207</c:f>
              <c:numCache>
                <c:formatCode>0.00</c:formatCode>
                <c:ptCount val="21"/>
                <c:pt idx="0">
                  <c:v>87.980913635483361</c:v>
                </c:pt>
                <c:pt idx="1">
                  <c:v>90.977529561609259</c:v>
                </c:pt>
                <c:pt idx="2">
                  <c:v>92.369244489454687</c:v>
                </c:pt>
                <c:pt idx="3">
                  <c:v>90.73211324304566</c:v>
                </c:pt>
                <c:pt idx="4">
                  <c:v>92.442844806757194</c:v>
                </c:pt>
                <c:pt idx="5">
                  <c:v>99.545118095283215</c:v>
                </c:pt>
                <c:pt idx="6">
                  <c:v>107.2282868578918</c:v>
                </c:pt>
                <c:pt idx="7">
                  <c:v>106.92322936810945</c:v>
                </c:pt>
                <c:pt idx="8">
                  <c:v>105.36603185467254</c:v>
                </c:pt>
                <c:pt idx="9">
                  <c:v>109.99119998100109</c:v>
                </c:pt>
                <c:pt idx="10">
                  <c:v>102.78424401390821</c:v>
                </c:pt>
                <c:pt idx="11">
                  <c:v>105.7688500612302</c:v>
                </c:pt>
                <c:pt idx="12">
                  <c:v>104.92402591561913</c:v>
                </c:pt>
                <c:pt idx="13">
                  <c:v>100.29689618877899</c:v>
                </c:pt>
                <c:pt idx="14">
                  <c:v>99.003216255876353</c:v>
                </c:pt>
                <c:pt idx="15">
                  <c:v>98.682000203240193</c:v>
                </c:pt>
                <c:pt idx="16">
                  <c:v>98.753352107858305</c:v>
                </c:pt>
                <c:pt idx="17">
                  <c:v>100.78932798715462</c:v>
                </c:pt>
                <c:pt idx="18">
                  <c:v>98.470690368709711</c:v>
                </c:pt>
                <c:pt idx="19">
                  <c:v>95.691542539381444</c:v>
                </c:pt>
                <c:pt idx="20">
                  <c:v>93.368185681507995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37-6642-9339-37F6DA87C9FD}"/>
            </c:ext>
          </c:extLst>
        </c:ser>
        <c:ser>
          <c:idx val="8"/>
          <c:order val="6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Frec'!$R$187:$R$207</c:f>
              <c:numCache>
                <c:formatCode>0.00</c:formatCode>
                <c:ptCount val="21"/>
                <c:pt idx="0">
                  <c:v>86.555781080425632</c:v>
                </c:pt>
                <c:pt idx="1">
                  <c:v>90.393781812615217</c:v>
                </c:pt>
                <c:pt idx="2">
                  <c:v>95.23819189679611</c:v>
                </c:pt>
                <c:pt idx="3">
                  <c:v>85.933895637374277</c:v>
                </c:pt>
                <c:pt idx="4">
                  <c:v>86.416556578834886</c:v>
                </c:pt>
                <c:pt idx="5">
                  <c:v>100.86197477244514</c:v>
                </c:pt>
                <c:pt idx="6">
                  <c:v>99.540568205654679</c:v>
                </c:pt>
                <c:pt idx="7">
                  <c:v>103.68640765363438</c:v>
                </c:pt>
                <c:pt idx="8">
                  <c:v>102.56141022338286</c:v>
                </c:pt>
                <c:pt idx="9">
                  <c:v>103.35808281576372</c:v>
                </c:pt>
                <c:pt idx="10">
                  <c:v>101.39967217703982</c:v>
                </c:pt>
                <c:pt idx="11">
                  <c:v>103.32793961514982</c:v>
                </c:pt>
                <c:pt idx="12">
                  <c:v>101.54321770345904</c:v>
                </c:pt>
                <c:pt idx="13">
                  <c:v>100.78417875106622</c:v>
                </c:pt>
                <c:pt idx="14">
                  <c:v>102.0438783538557</c:v>
                </c:pt>
                <c:pt idx="15">
                  <c:v>98.503328325179055</c:v>
                </c:pt>
                <c:pt idx="16">
                  <c:v>96.452286049709443</c:v>
                </c:pt>
                <c:pt idx="17">
                  <c:v>100.09747297757019</c:v>
                </c:pt>
                <c:pt idx="18">
                  <c:v>96.438454574454298</c:v>
                </c:pt>
                <c:pt idx="19">
                  <c:v>94.686570934292021</c:v>
                </c:pt>
                <c:pt idx="20">
                  <c:v>92.640858825335158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37-6642-9339-37F6DA87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42242683110128"/>
          <c:y val="0.3562838355791681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Inferior - Emisor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Frec'!$G$239:$G$259</c:f>
              <c:numCache>
                <c:formatCode>0.00</c:formatCode>
                <c:ptCount val="21"/>
                <c:pt idx="0">
                  <c:v>87.980913635483361</c:v>
                </c:pt>
                <c:pt idx="1">
                  <c:v>90.977529561609259</c:v>
                </c:pt>
                <c:pt idx="2">
                  <c:v>92.369244489454687</c:v>
                </c:pt>
                <c:pt idx="3">
                  <c:v>90.73211324304566</c:v>
                </c:pt>
                <c:pt idx="4">
                  <c:v>92.442844806757194</c:v>
                </c:pt>
                <c:pt idx="5">
                  <c:v>99.545118095283215</c:v>
                </c:pt>
                <c:pt idx="6">
                  <c:v>107.2282868578918</c:v>
                </c:pt>
                <c:pt idx="7">
                  <c:v>106.92322936810945</c:v>
                </c:pt>
                <c:pt idx="8">
                  <c:v>105.36603185467254</c:v>
                </c:pt>
                <c:pt idx="9">
                  <c:v>109.1</c:v>
                </c:pt>
                <c:pt idx="10">
                  <c:v>102.8</c:v>
                </c:pt>
                <c:pt idx="11">
                  <c:v>105.7688500612302</c:v>
                </c:pt>
                <c:pt idx="12">
                  <c:v>104.92402591561913</c:v>
                </c:pt>
                <c:pt idx="13">
                  <c:v>100.1</c:v>
                </c:pt>
                <c:pt idx="14">
                  <c:v>99.003216255876353</c:v>
                </c:pt>
                <c:pt idx="15">
                  <c:v>98.682000203240193</c:v>
                </c:pt>
                <c:pt idx="16">
                  <c:v>99</c:v>
                </c:pt>
                <c:pt idx="17">
                  <c:v>100.78932798715462</c:v>
                </c:pt>
                <c:pt idx="18">
                  <c:v>98.6</c:v>
                </c:pt>
                <c:pt idx="19">
                  <c:v>95.691542539381444</c:v>
                </c:pt>
                <c:pt idx="20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6940-91B8-B348D42A841D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Frec'!$H$239:$H$259</c:f>
              <c:numCache>
                <c:formatCode>0.00</c:formatCode>
                <c:ptCount val="21"/>
                <c:pt idx="0">
                  <c:v>69.773363505824335</c:v>
                </c:pt>
                <c:pt idx="1">
                  <c:v>82.514081730454734</c:v>
                </c:pt>
                <c:pt idx="2">
                  <c:v>91.177839923475346</c:v>
                </c:pt>
                <c:pt idx="3">
                  <c:v>87.450091501628378</c:v>
                </c:pt>
                <c:pt idx="4">
                  <c:v>89.292771875116813</c:v>
                </c:pt>
                <c:pt idx="5">
                  <c:v>96.985328411485597</c:v>
                </c:pt>
                <c:pt idx="6">
                  <c:v>101</c:v>
                </c:pt>
                <c:pt idx="7">
                  <c:v>103.1653101067794</c:v>
                </c:pt>
                <c:pt idx="8">
                  <c:v>103.24908775804145</c:v>
                </c:pt>
                <c:pt idx="9">
                  <c:v>103.50771377052416</c:v>
                </c:pt>
                <c:pt idx="10">
                  <c:v>105.1</c:v>
                </c:pt>
                <c:pt idx="11">
                  <c:v>102.77670731977983</c:v>
                </c:pt>
                <c:pt idx="12">
                  <c:v>99.7</c:v>
                </c:pt>
                <c:pt idx="13">
                  <c:v>100.17212704745207</c:v>
                </c:pt>
                <c:pt idx="14">
                  <c:v>98.458214163894283</c:v>
                </c:pt>
                <c:pt idx="15">
                  <c:v>98.5</c:v>
                </c:pt>
                <c:pt idx="16">
                  <c:v>97.724535548744015</c:v>
                </c:pt>
                <c:pt idx="17">
                  <c:v>98.187275892923893</c:v>
                </c:pt>
                <c:pt idx="18">
                  <c:v>97.1</c:v>
                </c:pt>
                <c:pt idx="19">
                  <c:v>93.207997124046798</c:v>
                </c:pt>
                <c:pt idx="20">
                  <c:v>91.89495202023447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C-6940-91B8-B348D42A841D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Frec'!$I$239:$I$259</c:f>
              <c:numCache>
                <c:formatCode>0.00</c:formatCode>
                <c:ptCount val="21"/>
                <c:pt idx="0">
                  <c:v>86.32098395931051</c:v>
                </c:pt>
                <c:pt idx="1">
                  <c:v>90.656280263506943</c:v>
                </c:pt>
                <c:pt idx="2">
                  <c:v>94.485681078300146</c:v>
                </c:pt>
                <c:pt idx="3">
                  <c:v>83.974256593539081</c:v>
                </c:pt>
                <c:pt idx="4">
                  <c:v>85</c:v>
                </c:pt>
                <c:pt idx="5">
                  <c:v>96.495622789145202</c:v>
                </c:pt>
                <c:pt idx="6">
                  <c:v>97</c:v>
                </c:pt>
                <c:pt idx="7">
                  <c:v>101.55784447957627</c:v>
                </c:pt>
                <c:pt idx="8">
                  <c:v>99.490227732853484</c:v>
                </c:pt>
                <c:pt idx="9">
                  <c:v>104.298273473099</c:v>
                </c:pt>
                <c:pt idx="10">
                  <c:v>104.4</c:v>
                </c:pt>
                <c:pt idx="11">
                  <c:v>99.917388872460563</c:v>
                </c:pt>
                <c:pt idx="12">
                  <c:v>101.2015238289148</c:v>
                </c:pt>
                <c:pt idx="13">
                  <c:v>99.492687272526439</c:v>
                </c:pt>
                <c:pt idx="14">
                  <c:v>98.852766441686398</c:v>
                </c:pt>
                <c:pt idx="15">
                  <c:v>97.814981934232563</c:v>
                </c:pt>
                <c:pt idx="16">
                  <c:v>97.594419629998029</c:v>
                </c:pt>
                <c:pt idx="17">
                  <c:v>99.094359081206605</c:v>
                </c:pt>
                <c:pt idx="18">
                  <c:v>97.103584768656432</c:v>
                </c:pt>
                <c:pt idx="19">
                  <c:v>92.94559636283897</c:v>
                </c:pt>
                <c:pt idx="20">
                  <c:v>91.533914328302004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C-6940-91B8-B348D42A841D}"/>
            </c:ext>
          </c:extLst>
        </c:ser>
        <c:ser>
          <c:idx val="5"/>
          <c:order val="3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Frec'!$C$136:$C$156</c:f>
              <c:numCache>
                <c:formatCode>0.00</c:formatCode>
                <c:ptCount val="21"/>
                <c:pt idx="0">
                  <c:v>26.46942315021014</c:v>
                </c:pt>
                <c:pt idx="1">
                  <c:v>19.024018184726351</c:v>
                </c:pt>
                <c:pt idx="2">
                  <c:v>25.637379282937712</c:v>
                </c:pt>
                <c:pt idx="3">
                  <c:v>21.279253120075122</c:v>
                </c:pt>
                <c:pt idx="4">
                  <c:v>19.664507151580136</c:v>
                </c:pt>
                <c:pt idx="5">
                  <c:v>22.19456680109349</c:v>
                </c:pt>
                <c:pt idx="6">
                  <c:v>20.456081392861158</c:v>
                </c:pt>
                <c:pt idx="7">
                  <c:v>20.662895160471663</c:v>
                </c:pt>
                <c:pt idx="8">
                  <c:v>21.240521553743957</c:v>
                </c:pt>
                <c:pt idx="9">
                  <c:v>21.45340151594581</c:v>
                </c:pt>
                <c:pt idx="10">
                  <c:v>21.834310797008023</c:v>
                </c:pt>
                <c:pt idx="11">
                  <c:v>22.146913411868407</c:v>
                </c:pt>
                <c:pt idx="12">
                  <c:v>22.666651875827029</c:v>
                </c:pt>
                <c:pt idx="13">
                  <c:v>23.385404400769694</c:v>
                </c:pt>
                <c:pt idx="14">
                  <c:v>24.0174561464585</c:v>
                </c:pt>
                <c:pt idx="15">
                  <c:v>25.004070056275367</c:v>
                </c:pt>
                <c:pt idx="16">
                  <c:v>25.738647262513716</c:v>
                </c:pt>
                <c:pt idx="17">
                  <c:v>26.319398473236124</c:v>
                </c:pt>
                <c:pt idx="18">
                  <c:v>27.18455760593687</c:v>
                </c:pt>
                <c:pt idx="19">
                  <c:v>28.086701907789134</c:v>
                </c:pt>
                <c:pt idx="20">
                  <c:v>28.979656410465314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C-6940-91B8-B348D42A841D}"/>
            </c:ext>
          </c:extLst>
        </c:ser>
        <c:ser>
          <c:idx val="6"/>
          <c:order val="4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Frec'!$P$239:$P$259</c:f>
              <c:numCache>
                <c:formatCode>0.00</c:formatCode>
                <c:ptCount val="21"/>
                <c:pt idx="0">
                  <c:v>88.580837717225776</c:v>
                </c:pt>
                <c:pt idx="1">
                  <c:v>90.14233554022907</c:v>
                </c:pt>
                <c:pt idx="2">
                  <c:v>89.608592148469469</c:v>
                </c:pt>
                <c:pt idx="3">
                  <c:v>82.663077023455315</c:v>
                </c:pt>
                <c:pt idx="4">
                  <c:v>86.347007722917056</c:v>
                </c:pt>
                <c:pt idx="5">
                  <c:v>99.300112653826858</c:v>
                </c:pt>
                <c:pt idx="6">
                  <c:v>103.11973244191554</c:v>
                </c:pt>
                <c:pt idx="7">
                  <c:v>106.91698425121682</c:v>
                </c:pt>
                <c:pt idx="8">
                  <c:v>104.075606607521</c:v>
                </c:pt>
                <c:pt idx="9">
                  <c:v>102.88817041894896</c:v>
                </c:pt>
                <c:pt idx="10">
                  <c:v>104.01217818371708</c:v>
                </c:pt>
                <c:pt idx="11">
                  <c:v>103.58723338370685</c:v>
                </c:pt>
                <c:pt idx="12">
                  <c:v>103.90996777041144</c:v>
                </c:pt>
                <c:pt idx="13">
                  <c:v>100.39587637862945</c:v>
                </c:pt>
                <c:pt idx="14">
                  <c:v>98.561943775030699</c:v>
                </c:pt>
                <c:pt idx="15">
                  <c:v>99.178125079933793</c:v>
                </c:pt>
                <c:pt idx="16">
                  <c:v>98.396718937844398</c:v>
                </c:pt>
                <c:pt idx="17">
                  <c:v>99.742124587827135</c:v>
                </c:pt>
                <c:pt idx="18">
                  <c:v>97.863061003867884</c:v>
                </c:pt>
                <c:pt idx="19">
                  <c:v>94.296003621799912</c:v>
                </c:pt>
                <c:pt idx="20">
                  <c:v>93.380406178973118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C-6940-91B8-B348D42A841D}"/>
            </c:ext>
          </c:extLst>
        </c:ser>
        <c:ser>
          <c:idx val="7"/>
          <c:order val="5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Frec'!$E$136:$E$156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Frec'!$Q$239:$Q$259</c:f>
              <c:numCache>
                <c:formatCode>0.00</c:formatCode>
                <c:ptCount val="21"/>
                <c:pt idx="0">
                  <c:v>88.280875676354569</c:v>
                </c:pt>
                <c:pt idx="1">
                  <c:v>90.559932550919171</c:v>
                </c:pt>
                <c:pt idx="2">
                  <c:v>90.988918318962078</c:v>
                </c:pt>
                <c:pt idx="3">
                  <c:v>86.697595133250488</c:v>
                </c:pt>
                <c:pt idx="4">
                  <c:v>89.394926264837125</c:v>
                </c:pt>
                <c:pt idx="5">
                  <c:v>99.422615374555036</c:v>
                </c:pt>
                <c:pt idx="6">
                  <c:v>105.17400964990367</c:v>
                </c:pt>
                <c:pt idx="7">
                  <c:v>106.92010680966314</c:v>
                </c:pt>
                <c:pt idx="8">
                  <c:v>104.72081923109677</c:v>
                </c:pt>
                <c:pt idx="9">
                  <c:v>106.43968519997503</c:v>
                </c:pt>
                <c:pt idx="10">
                  <c:v>103.39821109881265</c:v>
                </c:pt>
                <c:pt idx="11">
                  <c:v>104.67804172246852</c:v>
                </c:pt>
                <c:pt idx="12">
                  <c:v>104.41699684301528</c:v>
                </c:pt>
                <c:pt idx="13">
                  <c:v>100.34638628370422</c:v>
                </c:pt>
                <c:pt idx="14">
                  <c:v>98.782580015453533</c:v>
                </c:pt>
                <c:pt idx="15">
                  <c:v>98.930062641587</c:v>
                </c:pt>
                <c:pt idx="16">
                  <c:v>98.575035522851351</c:v>
                </c:pt>
                <c:pt idx="17">
                  <c:v>100.26572628749088</c:v>
                </c:pt>
                <c:pt idx="18">
                  <c:v>98.16687568628879</c:v>
                </c:pt>
                <c:pt idx="19">
                  <c:v>94.993773080590671</c:v>
                </c:pt>
                <c:pt idx="20">
                  <c:v>93.37429593024055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9C-6940-91B8-B348D42A841D}"/>
            </c:ext>
          </c:extLst>
        </c:ser>
        <c:ser>
          <c:idx val="8"/>
          <c:order val="6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Frec'!$R$239:$R$259</c:f>
              <c:numCache>
                <c:formatCode>0.00</c:formatCode>
                <c:ptCount val="21"/>
                <c:pt idx="0">
                  <c:v>86.555781080425632</c:v>
                </c:pt>
                <c:pt idx="1">
                  <c:v>90.393781812615217</c:v>
                </c:pt>
                <c:pt idx="2">
                  <c:v>95.23819189679611</c:v>
                </c:pt>
                <c:pt idx="3">
                  <c:v>85.933895637374277</c:v>
                </c:pt>
                <c:pt idx="4">
                  <c:v>86.416556578834886</c:v>
                </c:pt>
                <c:pt idx="5">
                  <c:v>100.86197477244514</c:v>
                </c:pt>
                <c:pt idx="6">
                  <c:v>99.540568205654679</c:v>
                </c:pt>
                <c:pt idx="7">
                  <c:v>103.68640765363438</c:v>
                </c:pt>
                <c:pt idx="8">
                  <c:v>102.56141022338286</c:v>
                </c:pt>
                <c:pt idx="9">
                  <c:v>103.35808281576372</c:v>
                </c:pt>
                <c:pt idx="10">
                  <c:v>101.39967217703982</c:v>
                </c:pt>
                <c:pt idx="11">
                  <c:v>103.32793961514982</c:v>
                </c:pt>
                <c:pt idx="12">
                  <c:v>101.54321770345904</c:v>
                </c:pt>
                <c:pt idx="13">
                  <c:v>100.78417875106622</c:v>
                </c:pt>
                <c:pt idx="14">
                  <c:v>102.0438783538557</c:v>
                </c:pt>
                <c:pt idx="15">
                  <c:v>98.503328325179055</c:v>
                </c:pt>
                <c:pt idx="16">
                  <c:v>96.452286049709443</c:v>
                </c:pt>
                <c:pt idx="17">
                  <c:v>100.09747297757019</c:v>
                </c:pt>
                <c:pt idx="18">
                  <c:v>96.438454574454298</c:v>
                </c:pt>
                <c:pt idx="19">
                  <c:v>94.686570934292021</c:v>
                </c:pt>
                <c:pt idx="20">
                  <c:v>92.640858825335158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9C-6940-91B8-B348D42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42242683110128"/>
          <c:y val="0.35628383557916815"/>
          <c:w val="0.1008421885486763"/>
          <c:h val="0.4614047600355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Frec'!$D$5:$D$25</c:f>
              <c:numCache>
                <c:formatCode>0.0</c:formatCode>
                <c:ptCount val="21"/>
                <c:pt idx="0">
                  <c:v>28.1</c:v>
                </c:pt>
                <c:pt idx="1">
                  <c:v>24.1</c:v>
                </c:pt>
                <c:pt idx="2">
                  <c:v>22.9</c:v>
                </c:pt>
                <c:pt idx="3">
                  <c:v>22.4</c:v>
                </c:pt>
                <c:pt idx="4">
                  <c:v>19.5</c:v>
                </c:pt>
                <c:pt idx="5">
                  <c:v>23.5</c:v>
                </c:pt>
                <c:pt idx="6">
                  <c:v>21.7</c:v>
                </c:pt>
                <c:pt idx="7">
                  <c:v>25.7</c:v>
                </c:pt>
                <c:pt idx="8">
                  <c:v>25</c:v>
                </c:pt>
                <c:pt idx="9">
                  <c:v>24.8</c:v>
                </c:pt>
                <c:pt idx="10">
                  <c:v>25.8</c:v>
                </c:pt>
                <c:pt idx="11">
                  <c:v>25.7</c:v>
                </c:pt>
                <c:pt idx="12">
                  <c:v>25.2</c:v>
                </c:pt>
                <c:pt idx="13">
                  <c:v>25.6</c:v>
                </c:pt>
                <c:pt idx="14">
                  <c:v>25.7</c:v>
                </c:pt>
                <c:pt idx="15">
                  <c:v>25.1</c:v>
                </c:pt>
                <c:pt idx="16">
                  <c:v>25.9</c:v>
                </c:pt>
                <c:pt idx="17">
                  <c:v>26.5</c:v>
                </c:pt>
                <c:pt idx="18">
                  <c:v>27.2</c:v>
                </c:pt>
                <c:pt idx="19">
                  <c:v>28.1</c:v>
                </c:pt>
                <c:pt idx="20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3-724C-9684-8B0FD3B4B775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Frec'!$C$5:$C$25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3-724C-9684-8B0FD3B4B775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Frec'!$G$5:$G$25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73-724C-9684-8B0FD3B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7666315332630663E-2"/>
          <c:h val="0.12684388135693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Frec'!$K$5:$K$25</c:f>
              <c:numCache>
                <c:formatCode>0.0</c:formatCode>
                <c:ptCount val="21"/>
                <c:pt idx="0">
                  <c:v>28.1</c:v>
                </c:pt>
                <c:pt idx="1">
                  <c:v>24.1</c:v>
                </c:pt>
                <c:pt idx="2">
                  <c:v>22.9</c:v>
                </c:pt>
                <c:pt idx="3">
                  <c:v>22.4</c:v>
                </c:pt>
                <c:pt idx="4">
                  <c:v>19.5</c:v>
                </c:pt>
                <c:pt idx="5">
                  <c:v>23.5</c:v>
                </c:pt>
                <c:pt idx="6">
                  <c:v>21.7</c:v>
                </c:pt>
                <c:pt idx="7">
                  <c:v>25.7</c:v>
                </c:pt>
                <c:pt idx="8">
                  <c:v>25</c:v>
                </c:pt>
                <c:pt idx="9">
                  <c:v>24.8</c:v>
                </c:pt>
                <c:pt idx="10">
                  <c:v>25.8</c:v>
                </c:pt>
                <c:pt idx="11">
                  <c:v>25.7</c:v>
                </c:pt>
                <c:pt idx="12">
                  <c:v>25.2</c:v>
                </c:pt>
                <c:pt idx="13">
                  <c:v>25.6</c:v>
                </c:pt>
                <c:pt idx="14">
                  <c:v>25.7</c:v>
                </c:pt>
                <c:pt idx="15">
                  <c:v>25.1</c:v>
                </c:pt>
                <c:pt idx="16">
                  <c:v>25.9</c:v>
                </c:pt>
                <c:pt idx="17">
                  <c:v>26.5</c:v>
                </c:pt>
                <c:pt idx="18">
                  <c:v>27.2</c:v>
                </c:pt>
                <c:pt idx="19">
                  <c:v>28.1</c:v>
                </c:pt>
                <c:pt idx="20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8-4D4C-B181-7E287DA01CB2}"/>
            </c:ext>
          </c:extLst>
        </c:ser>
        <c:ser>
          <c:idx val="1"/>
          <c:order val="1"/>
          <c:tx>
            <c:v>L2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Frec'!$J$5:$J$25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8-4D4C-B181-7E287DA01CB2}"/>
            </c:ext>
          </c:extLst>
        </c:ser>
        <c:ser>
          <c:idx val="2"/>
          <c:order val="2"/>
          <c:tx>
            <c:v>L2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Frec'!$N$5:$N$25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8-4D4C-B181-7E287DA0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Frec'!$D$5:$D$25</c:f>
              <c:numCache>
                <c:formatCode>0.0</c:formatCode>
                <c:ptCount val="21"/>
                <c:pt idx="0">
                  <c:v>28.1</c:v>
                </c:pt>
                <c:pt idx="1">
                  <c:v>24.1</c:v>
                </c:pt>
                <c:pt idx="2">
                  <c:v>22.9</c:v>
                </c:pt>
                <c:pt idx="3">
                  <c:v>22.4</c:v>
                </c:pt>
                <c:pt idx="4">
                  <c:v>19.5</c:v>
                </c:pt>
                <c:pt idx="5">
                  <c:v>23.5</c:v>
                </c:pt>
                <c:pt idx="6">
                  <c:v>21.7</c:v>
                </c:pt>
                <c:pt idx="7">
                  <c:v>25.7</c:v>
                </c:pt>
                <c:pt idx="8">
                  <c:v>25</c:v>
                </c:pt>
                <c:pt idx="9">
                  <c:v>24.8</c:v>
                </c:pt>
                <c:pt idx="10">
                  <c:v>25.8</c:v>
                </c:pt>
                <c:pt idx="11">
                  <c:v>25.7</c:v>
                </c:pt>
                <c:pt idx="12">
                  <c:v>25.2</c:v>
                </c:pt>
                <c:pt idx="13">
                  <c:v>25.6</c:v>
                </c:pt>
                <c:pt idx="14">
                  <c:v>25.7</c:v>
                </c:pt>
                <c:pt idx="15">
                  <c:v>25.1</c:v>
                </c:pt>
                <c:pt idx="16">
                  <c:v>25.9</c:v>
                </c:pt>
                <c:pt idx="17">
                  <c:v>26.5</c:v>
                </c:pt>
                <c:pt idx="18">
                  <c:v>27.2</c:v>
                </c:pt>
                <c:pt idx="19">
                  <c:v>28.1</c:v>
                </c:pt>
                <c:pt idx="20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B647-9964-F230FCFEB91B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Frec'!$C$5:$C$25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B647-9964-F230FCFEB91B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Frec'!$G$5:$G$25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0-B647-9964-F230FCFEB91B}"/>
            </c:ext>
          </c:extLst>
        </c:ser>
        <c:ser>
          <c:idx val="3"/>
          <c:order val="3"/>
          <c:tx>
            <c:v>L2 (dB)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Frec'!$J$5:$J$25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0-B647-9964-F230FCFEB91B}"/>
            </c:ext>
          </c:extLst>
        </c:ser>
        <c:ser>
          <c:idx val="4"/>
          <c:order val="4"/>
          <c:tx>
            <c:v>L2 (dB) corr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Frec'!$N$5:$N$25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0-B647-9964-F230FCFE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9248089170827947E-2"/>
          <c:h val="0.31275541447815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Frec'!$D$31:$D$51</c:f>
              <c:numCache>
                <c:formatCode>0.0</c:formatCode>
                <c:ptCount val="21"/>
                <c:pt idx="0">
                  <c:v>28.3</c:v>
                </c:pt>
                <c:pt idx="1">
                  <c:v>21</c:v>
                </c:pt>
                <c:pt idx="2">
                  <c:v>20.6</c:v>
                </c:pt>
                <c:pt idx="3">
                  <c:v>21.1</c:v>
                </c:pt>
                <c:pt idx="4">
                  <c:v>21.4</c:v>
                </c:pt>
                <c:pt idx="5">
                  <c:v>20.7</c:v>
                </c:pt>
                <c:pt idx="6">
                  <c:v>20.7</c:v>
                </c:pt>
                <c:pt idx="7">
                  <c:v>21</c:v>
                </c:pt>
                <c:pt idx="8">
                  <c:v>20.8</c:v>
                </c:pt>
                <c:pt idx="9">
                  <c:v>21.3</c:v>
                </c:pt>
                <c:pt idx="10">
                  <c:v>21.6</c:v>
                </c:pt>
                <c:pt idx="11">
                  <c:v>22.3</c:v>
                </c:pt>
                <c:pt idx="12">
                  <c:v>22.6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25.5</c:v>
                </c:pt>
                <c:pt idx="17">
                  <c:v>26.4</c:v>
                </c:pt>
                <c:pt idx="18">
                  <c:v>27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2E4E-A9E9-79A7DFF3A038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Frec'!$C$31:$C$51</c:f>
              <c:numCache>
                <c:formatCode>0.0</c:formatCode>
                <c:ptCount val="21"/>
                <c:pt idx="0">
                  <c:v>72.641010619606988</c:v>
                </c:pt>
                <c:pt idx="1">
                  <c:v>71.914584451858062</c:v>
                </c:pt>
                <c:pt idx="2">
                  <c:v>84.941860930615377</c:v>
                </c:pt>
                <c:pt idx="3">
                  <c:v>78.558868239726365</c:v>
                </c:pt>
                <c:pt idx="4">
                  <c:v>79.10738230819544</c:v>
                </c:pt>
                <c:pt idx="5">
                  <c:v>79.161883710248901</c:v>
                </c:pt>
                <c:pt idx="6">
                  <c:v>83.610766000109493</c:v>
                </c:pt>
                <c:pt idx="7">
                  <c:v>80.81759560779571</c:v>
                </c:pt>
                <c:pt idx="8">
                  <c:v>82.167617538218153</c:v>
                </c:pt>
                <c:pt idx="9">
                  <c:v>77.73445560488112</c:v>
                </c:pt>
                <c:pt idx="10">
                  <c:v>76.210894250399278</c:v>
                </c:pt>
                <c:pt idx="11">
                  <c:v>74.724546781159404</c:v>
                </c:pt>
                <c:pt idx="12">
                  <c:v>74.222435228174405</c:v>
                </c:pt>
                <c:pt idx="13">
                  <c:v>72.531901701864896</c:v>
                </c:pt>
                <c:pt idx="14">
                  <c:v>70.865724856524878</c:v>
                </c:pt>
                <c:pt idx="15">
                  <c:v>69.816559492104318</c:v>
                </c:pt>
                <c:pt idx="16">
                  <c:v>70.192966399797342</c:v>
                </c:pt>
                <c:pt idx="17">
                  <c:v>74.517581132881617</c:v>
                </c:pt>
                <c:pt idx="18">
                  <c:v>74.4755031363824</c:v>
                </c:pt>
                <c:pt idx="19">
                  <c:v>69.853334112389319</c:v>
                </c:pt>
                <c:pt idx="20">
                  <c:v>65.532625240478296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E-2E4E-A9E9-79A7DFF3A038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Frec'!$G$31:$G$51</c:f>
              <c:numCache>
                <c:formatCode>0.0</c:formatCode>
                <c:ptCount val="21"/>
                <c:pt idx="0">
                  <c:v>72.641010619606988</c:v>
                </c:pt>
                <c:pt idx="1">
                  <c:v>71.914584451858062</c:v>
                </c:pt>
                <c:pt idx="2">
                  <c:v>84.941860930615377</c:v>
                </c:pt>
                <c:pt idx="3">
                  <c:v>78.558868239726365</c:v>
                </c:pt>
                <c:pt idx="4">
                  <c:v>79.10738230819544</c:v>
                </c:pt>
                <c:pt idx="5">
                  <c:v>79.161883710248901</c:v>
                </c:pt>
                <c:pt idx="6">
                  <c:v>83.610766000109493</c:v>
                </c:pt>
                <c:pt idx="7">
                  <c:v>80.81759560779571</c:v>
                </c:pt>
                <c:pt idx="8">
                  <c:v>82.167617538218153</c:v>
                </c:pt>
                <c:pt idx="9">
                  <c:v>77.73445560488112</c:v>
                </c:pt>
                <c:pt idx="10">
                  <c:v>76.210894250399278</c:v>
                </c:pt>
                <c:pt idx="11">
                  <c:v>74.724546781159404</c:v>
                </c:pt>
                <c:pt idx="12">
                  <c:v>74.222435228174405</c:v>
                </c:pt>
                <c:pt idx="13">
                  <c:v>72.531901701864896</c:v>
                </c:pt>
                <c:pt idx="14">
                  <c:v>70.865724856524878</c:v>
                </c:pt>
                <c:pt idx="15">
                  <c:v>69.816559492104318</c:v>
                </c:pt>
                <c:pt idx="16">
                  <c:v>70.192966399797342</c:v>
                </c:pt>
                <c:pt idx="17">
                  <c:v>74.517581132881617</c:v>
                </c:pt>
                <c:pt idx="18">
                  <c:v>74.4755031363824</c:v>
                </c:pt>
                <c:pt idx="19">
                  <c:v>69.853334112389319</c:v>
                </c:pt>
                <c:pt idx="20">
                  <c:v>65.532625240478296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E-2E4E-A9E9-79A7DFF3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258707683712488E-2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1B-1742-AE7D-65DB12EDB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Frec'!$G$6:$G$26</c:f>
              <c:numCache>
                <c:formatCode>0.00</c:formatCode>
                <c:ptCount val="21"/>
                <c:pt idx="0">
                  <c:v>59.706195316387223</c:v>
                </c:pt>
                <c:pt idx="1">
                  <c:v>52.464529244165455</c:v>
                </c:pt>
                <c:pt idx="2">
                  <c:v>56.711367868198643</c:v>
                </c:pt>
                <c:pt idx="3">
                  <c:v>53.847496569383281</c:v>
                </c:pt>
                <c:pt idx="4">
                  <c:v>58.666959454351506</c:v>
                </c:pt>
                <c:pt idx="5">
                  <c:v>59.272757153094041</c:v>
                </c:pt>
                <c:pt idx="6">
                  <c:v>59.41733439340338</c:v>
                </c:pt>
                <c:pt idx="7">
                  <c:v>58.124743642915789</c:v>
                </c:pt>
                <c:pt idx="8">
                  <c:v>62.372358394666314</c:v>
                </c:pt>
                <c:pt idx="9">
                  <c:v>61.355392100693152</c:v>
                </c:pt>
                <c:pt idx="10">
                  <c:v>57.530844021206121</c:v>
                </c:pt>
                <c:pt idx="11">
                  <c:v>51.290032056801216</c:v>
                </c:pt>
                <c:pt idx="12">
                  <c:v>47.463915567434334</c:v>
                </c:pt>
                <c:pt idx="13">
                  <c:v>46.21238998224527</c:v>
                </c:pt>
                <c:pt idx="14">
                  <c:v>45.095756026728523</c:v>
                </c:pt>
                <c:pt idx="15">
                  <c:v>43.506744109179131</c:v>
                </c:pt>
                <c:pt idx="16">
                  <c:v>43.721501665876843</c:v>
                </c:pt>
                <c:pt idx="17">
                  <c:v>49.059383051477006</c:v>
                </c:pt>
                <c:pt idx="18">
                  <c:v>50.546755834224108</c:v>
                </c:pt>
                <c:pt idx="19">
                  <c:v>45.706104572281639</c:v>
                </c:pt>
                <c:pt idx="20">
                  <c:v>39.433986674696776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1742-AE7D-65DB12EDB530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1B-1742-AE7D-65DB12EDB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Frec'!$H$6:$H$26</c:f>
              <c:numCache>
                <c:formatCode>0.00</c:formatCode>
                <c:ptCount val="21"/>
                <c:pt idx="0">
                  <c:v>48.476713919392402</c:v>
                </c:pt>
                <c:pt idx="1">
                  <c:v>47.631706744741429</c:v>
                </c:pt>
                <c:pt idx="2">
                  <c:v>61.899039912965364</c:v>
                </c:pt>
                <c:pt idx="3">
                  <c:v>50.973976645797741</c:v>
                </c:pt>
                <c:pt idx="4">
                  <c:v>53.224786490567105</c:v>
                </c:pt>
                <c:pt idx="5">
                  <c:v>56.611587172066905</c:v>
                </c:pt>
                <c:pt idx="6">
                  <c:v>59.424330061499965</c:v>
                </c:pt>
                <c:pt idx="7">
                  <c:v>57.947030968985167</c:v>
                </c:pt>
                <c:pt idx="8">
                  <c:v>60.199775893546636</c:v>
                </c:pt>
                <c:pt idx="9">
                  <c:v>61.999404598023958</c:v>
                </c:pt>
                <c:pt idx="10">
                  <c:v>58.427265174427085</c:v>
                </c:pt>
                <c:pt idx="11">
                  <c:v>52.432202571973164</c:v>
                </c:pt>
                <c:pt idx="12">
                  <c:v>50.245524116106239</c:v>
                </c:pt>
                <c:pt idx="13">
                  <c:v>46.118003960266975</c:v>
                </c:pt>
                <c:pt idx="14">
                  <c:v>45.06037874788074</c:v>
                </c:pt>
                <c:pt idx="15">
                  <c:v>44.406352946490863</c:v>
                </c:pt>
                <c:pt idx="16">
                  <c:v>44.78197937299349</c:v>
                </c:pt>
                <c:pt idx="17">
                  <c:v>50.281841572897264</c:v>
                </c:pt>
                <c:pt idx="18">
                  <c:v>50.881627078330482</c:v>
                </c:pt>
                <c:pt idx="19">
                  <c:v>46.701625741280893</c:v>
                </c:pt>
                <c:pt idx="20">
                  <c:v>39.359349911444376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B-1742-AE7D-65DB12EDB530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1B-1742-AE7D-65DB12EDB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Frec'!$I$6:$I$26</c:f>
              <c:numCache>
                <c:formatCode>0.00</c:formatCode>
                <c:ptCount val="21"/>
                <c:pt idx="0">
                  <c:v>61.952090389494892</c:v>
                </c:pt>
                <c:pt idx="1">
                  <c:v>52.346912024703968</c:v>
                </c:pt>
                <c:pt idx="2">
                  <c:v>62.312417557532171</c:v>
                </c:pt>
                <c:pt idx="3">
                  <c:v>52.024259024637296</c:v>
                </c:pt>
                <c:pt idx="4">
                  <c:v>57.128313636235347</c:v>
                </c:pt>
                <c:pt idx="5">
                  <c:v>59.740743533641698</c:v>
                </c:pt>
                <c:pt idx="6">
                  <c:v>57.525853016396908</c:v>
                </c:pt>
                <c:pt idx="7">
                  <c:v>57.585608031384496</c:v>
                </c:pt>
                <c:pt idx="8">
                  <c:v>62.776208752342683</c:v>
                </c:pt>
                <c:pt idx="9">
                  <c:v>60.348008730205095</c:v>
                </c:pt>
                <c:pt idx="10">
                  <c:v>56.77840810861052</c:v>
                </c:pt>
                <c:pt idx="11">
                  <c:v>53.145534330271857</c:v>
                </c:pt>
                <c:pt idx="12">
                  <c:v>48.217770519311038</c:v>
                </c:pt>
                <c:pt idx="13">
                  <c:v>47.407643823596437</c:v>
                </c:pt>
                <c:pt idx="14">
                  <c:v>45.464939226319288</c:v>
                </c:pt>
                <c:pt idx="15">
                  <c:v>43.798555121889123</c:v>
                </c:pt>
                <c:pt idx="16">
                  <c:v>44.81853508336787</c:v>
                </c:pt>
                <c:pt idx="17">
                  <c:v>49.654654102706544</c:v>
                </c:pt>
                <c:pt idx="18">
                  <c:v>51.418110637864423</c:v>
                </c:pt>
                <c:pt idx="19">
                  <c:v>47.668245143146315</c:v>
                </c:pt>
                <c:pt idx="20">
                  <c:v>41.13127312991417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B-1742-AE7D-65DB12EDB530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71B-1742-AE7D-65DB12EDB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Frec'!$J$6:$J$26</c:f>
              <c:numCache>
                <c:formatCode>0.00</c:formatCode>
                <c:ptCount val="21"/>
                <c:pt idx="0">
                  <c:v>65.040209826301123</c:v>
                </c:pt>
                <c:pt idx="1">
                  <c:v>50.991755933432131</c:v>
                </c:pt>
                <c:pt idx="2">
                  <c:v>57.470220848959698</c:v>
                </c:pt>
                <c:pt idx="3">
                  <c:v>52.363636814690885</c:v>
                </c:pt>
                <c:pt idx="4">
                  <c:v>60.450094655782237</c:v>
                </c:pt>
                <c:pt idx="5">
                  <c:v>60.879032961349417</c:v>
                </c:pt>
                <c:pt idx="6">
                  <c:v>61.312804541779279</c:v>
                </c:pt>
                <c:pt idx="7">
                  <c:v>60.87044004410032</c:v>
                </c:pt>
                <c:pt idx="8">
                  <c:v>62.773977220893244</c:v>
                </c:pt>
                <c:pt idx="9">
                  <c:v>62.064096470395612</c:v>
                </c:pt>
                <c:pt idx="10">
                  <c:v>56.302952728129014</c:v>
                </c:pt>
                <c:pt idx="11">
                  <c:v>50.209741843514749</c:v>
                </c:pt>
                <c:pt idx="12">
                  <c:v>49.698509775512584</c:v>
                </c:pt>
                <c:pt idx="13">
                  <c:v>48.399570550571305</c:v>
                </c:pt>
                <c:pt idx="14">
                  <c:v>46.593776197104006</c:v>
                </c:pt>
                <c:pt idx="15">
                  <c:v>44.511233140106626</c:v>
                </c:pt>
                <c:pt idx="16">
                  <c:v>45.205248910171981</c:v>
                </c:pt>
                <c:pt idx="17">
                  <c:v>52.159843234677496</c:v>
                </c:pt>
                <c:pt idx="18">
                  <c:v>53.440845058523081</c:v>
                </c:pt>
                <c:pt idx="19">
                  <c:v>48.498892740486497</c:v>
                </c:pt>
                <c:pt idx="20">
                  <c:v>42.326355885168198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B-1742-AE7D-65DB12EDB530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1B-1742-AE7D-65DB12EDB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Frec'!$K$6:$K$26</c:f>
              <c:numCache>
                <c:formatCode>0.00</c:formatCode>
                <c:ptCount val="21"/>
                <c:pt idx="0">
                  <c:v>57.781042531574741</c:v>
                </c:pt>
                <c:pt idx="1">
                  <c:v>49.1071615191738</c:v>
                </c:pt>
                <c:pt idx="2">
                  <c:v>58.473574788946856</c:v>
                </c:pt>
                <c:pt idx="3">
                  <c:v>57.288266035016072</c:v>
                </c:pt>
                <c:pt idx="4">
                  <c:v>60.913541959917715</c:v>
                </c:pt>
                <c:pt idx="5">
                  <c:v>61.184793287943428</c:v>
                </c:pt>
                <c:pt idx="6">
                  <c:v>57.852374523108082</c:v>
                </c:pt>
                <c:pt idx="7">
                  <c:v>60.796009680643039</c:v>
                </c:pt>
                <c:pt idx="8">
                  <c:v>60.932455568450493</c:v>
                </c:pt>
                <c:pt idx="9">
                  <c:v>61.359957429438687</c:v>
                </c:pt>
                <c:pt idx="10">
                  <c:v>57.061953414113901</c:v>
                </c:pt>
                <c:pt idx="11">
                  <c:v>53.113702421781547</c:v>
                </c:pt>
                <c:pt idx="12">
                  <c:v>49.866004520398008</c:v>
                </c:pt>
                <c:pt idx="13">
                  <c:v>46.715227848034729</c:v>
                </c:pt>
                <c:pt idx="14">
                  <c:v>45.738344964570409</c:v>
                </c:pt>
                <c:pt idx="15">
                  <c:v>43.475523767060643</c:v>
                </c:pt>
                <c:pt idx="16">
                  <c:v>43.584119889838846</c:v>
                </c:pt>
                <c:pt idx="17">
                  <c:v>50.216990208968021</c:v>
                </c:pt>
                <c:pt idx="18">
                  <c:v>51.492911500337591</c:v>
                </c:pt>
                <c:pt idx="19">
                  <c:v>46.489667901582123</c:v>
                </c:pt>
                <c:pt idx="20">
                  <c:v>40.598329779519986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1B-1742-AE7D-65DB12EDB530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Frec'!$C$6:$C$26</c:f>
              <c:numCache>
                <c:formatCode>0.00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1B-1742-AE7D-65DB12ED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034814072413199"/>
          <c:h val="0.25280148827989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Frec'!$K$31:$K$51</c:f>
              <c:numCache>
                <c:formatCode>0.0</c:formatCode>
                <c:ptCount val="21"/>
                <c:pt idx="0">
                  <c:v>28.3</c:v>
                </c:pt>
                <c:pt idx="1">
                  <c:v>21</c:v>
                </c:pt>
                <c:pt idx="2">
                  <c:v>20.6</c:v>
                </c:pt>
                <c:pt idx="3">
                  <c:v>21.1</c:v>
                </c:pt>
                <c:pt idx="4">
                  <c:v>21.4</c:v>
                </c:pt>
                <c:pt idx="5">
                  <c:v>20.7</c:v>
                </c:pt>
                <c:pt idx="6">
                  <c:v>20.7</c:v>
                </c:pt>
                <c:pt idx="7">
                  <c:v>21</c:v>
                </c:pt>
                <c:pt idx="8">
                  <c:v>20.8</c:v>
                </c:pt>
                <c:pt idx="9">
                  <c:v>21.3</c:v>
                </c:pt>
                <c:pt idx="10">
                  <c:v>21.6</c:v>
                </c:pt>
                <c:pt idx="11">
                  <c:v>22.3</c:v>
                </c:pt>
                <c:pt idx="12">
                  <c:v>22.6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25.5</c:v>
                </c:pt>
                <c:pt idx="17">
                  <c:v>26.4</c:v>
                </c:pt>
                <c:pt idx="18">
                  <c:v>27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F-E440-A281-96D3C1B20F99}"/>
            </c:ext>
          </c:extLst>
        </c:ser>
        <c:ser>
          <c:idx val="1"/>
          <c:order val="1"/>
          <c:tx>
            <c:v>L2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Frec'!$J$31:$J$51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F-E440-A281-96D3C1B20F99}"/>
            </c:ext>
          </c:extLst>
        </c:ser>
        <c:ser>
          <c:idx val="2"/>
          <c:order val="2"/>
          <c:tx>
            <c:v>L2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Frec'!$N$31:$N$51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F-E440-A281-96D3C1B2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Frec'!$D$31:$D$51</c:f>
              <c:numCache>
                <c:formatCode>0.0</c:formatCode>
                <c:ptCount val="21"/>
                <c:pt idx="0">
                  <c:v>28.3</c:v>
                </c:pt>
                <c:pt idx="1">
                  <c:v>21</c:v>
                </c:pt>
                <c:pt idx="2">
                  <c:v>20.6</c:v>
                </c:pt>
                <c:pt idx="3">
                  <c:v>21.1</c:v>
                </c:pt>
                <c:pt idx="4">
                  <c:v>21.4</c:v>
                </c:pt>
                <c:pt idx="5">
                  <c:v>20.7</c:v>
                </c:pt>
                <c:pt idx="6">
                  <c:v>20.7</c:v>
                </c:pt>
                <c:pt idx="7">
                  <c:v>21</c:v>
                </c:pt>
                <c:pt idx="8">
                  <c:v>20.8</c:v>
                </c:pt>
                <c:pt idx="9">
                  <c:v>21.3</c:v>
                </c:pt>
                <c:pt idx="10">
                  <c:v>21.6</c:v>
                </c:pt>
                <c:pt idx="11">
                  <c:v>22.3</c:v>
                </c:pt>
                <c:pt idx="12">
                  <c:v>22.6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25.5</c:v>
                </c:pt>
                <c:pt idx="17">
                  <c:v>26.4</c:v>
                </c:pt>
                <c:pt idx="18">
                  <c:v>27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D-9641-B806-C848BABF3A95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Frec'!$C$31:$C$51</c:f>
              <c:numCache>
                <c:formatCode>0.0</c:formatCode>
                <c:ptCount val="21"/>
                <c:pt idx="0">
                  <c:v>72.641010619606988</c:v>
                </c:pt>
                <c:pt idx="1">
                  <c:v>71.914584451858062</c:v>
                </c:pt>
                <c:pt idx="2">
                  <c:v>84.941860930615377</c:v>
                </c:pt>
                <c:pt idx="3">
                  <c:v>78.558868239726365</c:v>
                </c:pt>
                <c:pt idx="4">
                  <c:v>79.10738230819544</c:v>
                </c:pt>
                <c:pt idx="5">
                  <c:v>79.161883710248901</c:v>
                </c:pt>
                <c:pt idx="6">
                  <c:v>83.610766000109493</c:v>
                </c:pt>
                <c:pt idx="7">
                  <c:v>80.81759560779571</c:v>
                </c:pt>
                <c:pt idx="8">
                  <c:v>82.167617538218153</c:v>
                </c:pt>
                <c:pt idx="9">
                  <c:v>77.73445560488112</c:v>
                </c:pt>
                <c:pt idx="10">
                  <c:v>76.210894250399278</c:v>
                </c:pt>
                <c:pt idx="11">
                  <c:v>74.724546781159404</c:v>
                </c:pt>
                <c:pt idx="12">
                  <c:v>74.222435228174405</c:v>
                </c:pt>
                <c:pt idx="13">
                  <c:v>72.531901701864896</c:v>
                </c:pt>
                <c:pt idx="14">
                  <c:v>70.865724856524878</c:v>
                </c:pt>
                <c:pt idx="15">
                  <c:v>69.816559492104318</c:v>
                </c:pt>
                <c:pt idx="16">
                  <c:v>70.192966399797342</c:v>
                </c:pt>
                <c:pt idx="17">
                  <c:v>74.517581132881617</c:v>
                </c:pt>
                <c:pt idx="18">
                  <c:v>74.4755031363824</c:v>
                </c:pt>
                <c:pt idx="19">
                  <c:v>69.853334112389319</c:v>
                </c:pt>
                <c:pt idx="20">
                  <c:v>65.532625240478296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D-9641-B806-C848BABF3A95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Frec'!$G$31:$G$51</c:f>
              <c:numCache>
                <c:formatCode>0.0</c:formatCode>
                <c:ptCount val="21"/>
                <c:pt idx="0">
                  <c:v>72.641010619606988</c:v>
                </c:pt>
                <c:pt idx="1">
                  <c:v>71.914584451858062</c:v>
                </c:pt>
                <c:pt idx="2">
                  <c:v>84.941860930615377</c:v>
                </c:pt>
                <c:pt idx="3">
                  <c:v>78.558868239726365</c:v>
                </c:pt>
                <c:pt idx="4">
                  <c:v>79.10738230819544</c:v>
                </c:pt>
                <c:pt idx="5">
                  <c:v>79.161883710248901</c:v>
                </c:pt>
                <c:pt idx="6">
                  <c:v>83.610766000109493</c:v>
                </c:pt>
                <c:pt idx="7">
                  <c:v>80.81759560779571</c:v>
                </c:pt>
                <c:pt idx="8">
                  <c:v>82.167617538218153</c:v>
                </c:pt>
                <c:pt idx="9">
                  <c:v>77.73445560488112</c:v>
                </c:pt>
                <c:pt idx="10">
                  <c:v>76.210894250399278</c:v>
                </c:pt>
                <c:pt idx="11">
                  <c:v>74.724546781159404</c:v>
                </c:pt>
                <c:pt idx="12">
                  <c:v>74.222435228174405</c:v>
                </c:pt>
                <c:pt idx="13">
                  <c:v>72.531901701864896</c:v>
                </c:pt>
                <c:pt idx="14">
                  <c:v>70.865724856524878</c:v>
                </c:pt>
                <c:pt idx="15">
                  <c:v>69.816559492104318</c:v>
                </c:pt>
                <c:pt idx="16">
                  <c:v>70.192966399797342</c:v>
                </c:pt>
                <c:pt idx="17">
                  <c:v>74.517581132881617</c:v>
                </c:pt>
                <c:pt idx="18">
                  <c:v>74.4755031363824</c:v>
                </c:pt>
                <c:pt idx="19">
                  <c:v>69.853334112389319</c:v>
                </c:pt>
                <c:pt idx="20">
                  <c:v>65.532625240478296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D-9641-B806-C848BABF3A95}"/>
            </c:ext>
          </c:extLst>
        </c:ser>
        <c:ser>
          <c:idx val="3"/>
          <c:order val="3"/>
          <c:tx>
            <c:v>L2 (dB)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Frec'!$J$31:$J$51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D-9641-B806-C848BABF3A95}"/>
            </c:ext>
          </c:extLst>
        </c:ser>
        <c:ser>
          <c:idx val="4"/>
          <c:order val="4"/>
          <c:tx>
            <c:v>L2 (dB) corr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Frec'!$N$31:$N$51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CD-9641-B806-C848BABF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07008050913505"/>
          <c:y val="3.2673844653115305E-2"/>
          <c:w val="9.617005466615966E-2"/>
          <c:h val="0.29107579401384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Frec'!$D$57:$D$77</c:f>
              <c:numCache>
                <c:formatCode>0.0</c:formatCode>
                <c:ptCount val="21"/>
                <c:pt idx="0">
                  <c:v>30.5</c:v>
                </c:pt>
                <c:pt idx="1">
                  <c:v>22.3</c:v>
                </c:pt>
                <c:pt idx="2">
                  <c:v>20.7</c:v>
                </c:pt>
                <c:pt idx="3">
                  <c:v>21</c:v>
                </c:pt>
                <c:pt idx="4">
                  <c:v>20.7</c:v>
                </c:pt>
                <c:pt idx="5">
                  <c:v>22.4</c:v>
                </c:pt>
                <c:pt idx="6">
                  <c:v>21.6</c:v>
                </c:pt>
                <c:pt idx="7">
                  <c:v>21.3</c:v>
                </c:pt>
                <c:pt idx="8">
                  <c:v>21.2</c:v>
                </c:pt>
                <c:pt idx="9">
                  <c:v>21.3</c:v>
                </c:pt>
                <c:pt idx="10">
                  <c:v>21.9</c:v>
                </c:pt>
                <c:pt idx="11">
                  <c:v>22.3</c:v>
                </c:pt>
                <c:pt idx="12">
                  <c:v>22.7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764F-9444-BF4C203E43BD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Frec'!$C$57:$C$77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1-764F-9444-BF4C203E43BD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Frec'!$G$57:$G$77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1-764F-9444-BF4C203E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258707683712488E-2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Frec'!$K$57:$K$77</c:f>
              <c:numCache>
                <c:formatCode>0.0</c:formatCode>
                <c:ptCount val="21"/>
                <c:pt idx="0">
                  <c:v>30.5</c:v>
                </c:pt>
                <c:pt idx="1">
                  <c:v>22.3</c:v>
                </c:pt>
                <c:pt idx="2">
                  <c:v>20.7</c:v>
                </c:pt>
                <c:pt idx="3">
                  <c:v>21</c:v>
                </c:pt>
                <c:pt idx="4">
                  <c:v>20.7</c:v>
                </c:pt>
                <c:pt idx="5">
                  <c:v>22.4</c:v>
                </c:pt>
                <c:pt idx="6">
                  <c:v>21.6</c:v>
                </c:pt>
                <c:pt idx="7">
                  <c:v>21.3</c:v>
                </c:pt>
                <c:pt idx="8">
                  <c:v>21.2</c:v>
                </c:pt>
                <c:pt idx="9">
                  <c:v>21.3</c:v>
                </c:pt>
                <c:pt idx="10">
                  <c:v>21.9</c:v>
                </c:pt>
                <c:pt idx="11">
                  <c:v>22.3</c:v>
                </c:pt>
                <c:pt idx="12">
                  <c:v>22.7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2F4D-BE3B-031980944BBE}"/>
            </c:ext>
          </c:extLst>
        </c:ser>
        <c:ser>
          <c:idx val="1"/>
          <c:order val="1"/>
          <c:tx>
            <c:v>L2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Frec'!$J$57:$J$77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C-2F4D-BE3B-031980944BBE}"/>
            </c:ext>
          </c:extLst>
        </c:ser>
        <c:ser>
          <c:idx val="2"/>
          <c:order val="2"/>
          <c:tx>
            <c:v>L2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Frec'!$M$57:$M$77</c:f>
              <c:numCache>
                <c:formatCode>0.0</c:formatCode>
                <c:ptCount val="21"/>
                <c:pt idx="0">
                  <c:v>69</c:v>
                </c:pt>
                <c:pt idx="1">
                  <c:v>54.5</c:v>
                </c:pt>
                <c:pt idx="2">
                  <c:v>58.4</c:v>
                </c:pt>
                <c:pt idx="3">
                  <c:v>54.1</c:v>
                </c:pt>
                <c:pt idx="4">
                  <c:v>52.9</c:v>
                </c:pt>
                <c:pt idx="5">
                  <c:v>69</c:v>
                </c:pt>
                <c:pt idx="6">
                  <c:v>62.7</c:v>
                </c:pt>
                <c:pt idx="7">
                  <c:v>66.599999999999994</c:v>
                </c:pt>
                <c:pt idx="8">
                  <c:v>70.2</c:v>
                </c:pt>
                <c:pt idx="9">
                  <c:v>68.400000000000006</c:v>
                </c:pt>
                <c:pt idx="10">
                  <c:v>64.099999999999994</c:v>
                </c:pt>
                <c:pt idx="11">
                  <c:v>62.5</c:v>
                </c:pt>
                <c:pt idx="12">
                  <c:v>59.6</c:v>
                </c:pt>
                <c:pt idx="13">
                  <c:v>56</c:v>
                </c:pt>
                <c:pt idx="14">
                  <c:v>53.8</c:v>
                </c:pt>
                <c:pt idx="15">
                  <c:v>52.1</c:v>
                </c:pt>
                <c:pt idx="16">
                  <c:v>50.4</c:v>
                </c:pt>
                <c:pt idx="17">
                  <c:v>53.1</c:v>
                </c:pt>
                <c:pt idx="18">
                  <c:v>53.5</c:v>
                </c:pt>
                <c:pt idx="19">
                  <c:v>48.9</c:v>
                </c:pt>
                <c:pt idx="20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C-2F4D-BE3B-03198094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Frec'!$D$57:$D$77</c:f>
              <c:numCache>
                <c:formatCode>0.0</c:formatCode>
                <c:ptCount val="21"/>
                <c:pt idx="0">
                  <c:v>30.5</c:v>
                </c:pt>
                <c:pt idx="1">
                  <c:v>22.3</c:v>
                </c:pt>
                <c:pt idx="2">
                  <c:v>20.7</c:v>
                </c:pt>
                <c:pt idx="3">
                  <c:v>21</c:v>
                </c:pt>
                <c:pt idx="4">
                  <c:v>20.7</c:v>
                </c:pt>
                <c:pt idx="5">
                  <c:v>22.4</c:v>
                </c:pt>
                <c:pt idx="6">
                  <c:v>21.6</c:v>
                </c:pt>
                <c:pt idx="7">
                  <c:v>21.3</c:v>
                </c:pt>
                <c:pt idx="8">
                  <c:v>21.2</c:v>
                </c:pt>
                <c:pt idx="9">
                  <c:v>21.3</c:v>
                </c:pt>
                <c:pt idx="10">
                  <c:v>21.9</c:v>
                </c:pt>
                <c:pt idx="11">
                  <c:v>22.3</c:v>
                </c:pt>
                <c:pt idx="12">
                  <c:v>22.7</c:v>
                </c:pt>
                <c:pt idx="13">
                  <c:v>23.2</c:v>
                </c:pt>
                <c:pt idx="14">
                  <c:v>23.9</c:v>
                </c:pt>
                <c:pt idx="15">
                  <c:v>24.6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28</c:v>
                </c:pt>
                <c:pt idx="2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E-2646-829E-4FC6BCF27CB2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Frec'!$C$57:$C$77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E-2646-829E-4FC6BCF27CB2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Frec'!$G$57:$G$77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E-2646-829E-4FC6BCF27CB2}"/>
            </c:ext>
          </c:extLst>
        </c:ser>
        <c:ser>
          <c:idx val="3"/>
          <c:order val="3"/>
          <c:tx>
            <c:v>L2 (dB)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Frec'!$J$57:$J$77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9E-2646-829E-4FC6BCF27CB2}"/>
            </c:ext>
          </c:extLst>
        </c:ser>
        <c:ser>
          <c:idx val="4"/>
          <c:order val="4"/>
          <c:tx>
            <c:v>L2 (dB) corr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Frec'!$N$57:$N$77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9E-2646-829E-4FC6BCF2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17005466615966E-2"/>
          <c:h val="0.20276641791694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Frec'!$D$83:$D$103</c:f>
              <c:numCache>
                <c:formatCode>0.0</c:formatCode>
                <c:ptCount val="21"/>
                <c:pt idx="0">
                  <c:v>26.6</c:v>
                </c:pt>
                <c:pt idx="1">
                  <c:v>20.8</c:v>
                </c:pt>
                <c:pt idx="2">
                  <c:v>20.3</c:v>
                </c:pt>
                <c:pt idx="3">
                  <c:v>20.9</c:v>
                </c:pt>
                <c:pt idx="4">
                  <c:v>19.2</c:v>
                </c:pt>
                <c:pt idx="5">
                  <c:v>23</c:v>
                </c:pt>
                <c:pt idx="6">
                  <c:v>21.7</c:v>
                </c:pt>
                <c:pt idx="7">
                  <c:v>25.8</c:v>
                </c:pt>
                <c:pt idx="8">
                  <c:v>24.7</c:v>
                </c:pt>
                <c:pt idx="9">
                  <c:v>24.7</c:v>
                </c:pt>
                <c:pt idx="10">
                  <c:v>25.7</c:v>
                </c:pt>
                <c:pt idx="11">
                  <c:v>25.6</c:v>
                </c:pt>
                <c:pt idx="12">
                  <c:v>25.2</c:v>
                </c:pt>
                <c:pt idx="13">
                  <c:v>25.5</c:v>
                </c:pt>
                <c:pt idx="14">
                  <c:v>25.9</c:v>
                </c:pt>
                <c:pt idx="15">
                  <c:v>25.1</c:v>
                </c:pt>
                <c:pt idx="16">
                  <c:v>26</c:v>
                </c:pt>
                <c:pt idx="17">
                  <c:v>26.4</c:v>
                </c:pt>
                <c:pt idx="18">
                  <c:v>27.1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7-4E48-A571-27799A1691D8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Frec'!$C$83:$C$103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7-4E48-A571-27799A1691D8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Frec'!$G$83:$G$103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7-4E48-A571-27799A16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258707683712488E-2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Frec'!$K$83:$K$103</c:f>
              <c:numCache>
                <c:formatCode>0.0</c:formatCode>
                <c:ptCount val="21"/>
                <c:pt idx="0">
                  <c:v>26.6</c:v>
                </c:pt>
                <c:pt idx="1">
                  <c:v>20.8</c:v>
                </c:pt>
                <c:pt idx="2">
                  <c:v>20.3</c:v>
                </c:pt>
                <c:pt idx="3">
                  <c:v>20.9</c:v>
                </c:pt>
                <c:pt idx="4">
                  <c:v>19.2</c:v>
                </c:pt>
                <c:pt idx="5">
                  <c:v>23</c:v>
                </c:pt>
                <c:pt idx="6">
                  <c:v>21.7</c:v>
                </c:pt>
                <c:pt idx="7">
                  <c:v>25.8</c:v>
                </c:pt>
                <c:pt idx="8">
                  <c:v>24.7</c:v>
                </c:pt>
                <c:pt idx="9">
                  <c:v>24.7</c:v>
                </c:pt>
                <c:pt idx="10">
                  <c:v>25.7</c:v>
                </c:pt>
                <c:pt idx="11">
                  <c:v>25.6</c:v>
                </c:pt>
                <c:pt idx="12">
                  <c:v>25.2</c:v>
                </c:pt>
                <c:pt idx="13">
                  <c:v>25.5</c:v>
                </c:pt>
                <c:pt idx="14">
                  <c:v>25.9</c:v>
                </c:pt>
                <c:pt idx="15">
                  <c:v>25.1</c:v>
                </c:pt>
                <c:pt idx="16">
                  <c:v>26</c:v>
                </c:pt>
                <c:pt idx="17">
                  <c:v>26.4</c:v>
                </c:pt>
                <c:pt idx="18">
                  <c:v>27.1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6-AB45-A85E-529732DAC9AF}"/>
            </c:ext>
          </c:extLst>
        </c:ser>
        <c:ser>
          <c:idx val="1"/>
          <c:order val="1"/>
          <c:tx>
            <c:v>L2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Frec'!$J$83:$J$103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6-AB45-A85E-529732DAC9AF}"/>
            </c:ext>
          </c:extLst>
        </c:ser>
        <c:ser>
          <c:idx val="2"/>
          <c:order val="2"/>
          <c:tx>
            <c:v>L2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Frec'!$N$83:$N$103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6-AB45-A85E-529732DA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Frec'!$D$83:$D$103</c:f>
              <c:numCache>
                <c:formatCode>0.0</c:formatCode>
                <c:ptCount val="21"/>
                <c:pt idx="0">
                  <c:v>26.6</c:v>
                </c:pt>
                <c:pt idx="1">
                  <c:v>20.8</c:v>
                </c:pt>
                <c:pt idx="2">
                  <c:v>20.3</c:v>
                </c:pt>
                <c:pt idx="3">
                  <c:v>20.9</c:v>
                </c:pt>
                <c:pt idx="4">
                  <c:v>19.2</c:v>
                </c:pt>
                <c:pt idx="5">
                  <c:v>23</c:v>
                </c:pt>
                <c:pt idx="6">
                  <c:v>21.7</c:v>
                </c:pt>
                <c:pt idx="7">
                  <c:v>25.8</c:v>
                </c:pt>
                <c:pt idx="8">
                  <c:v>24.7</c:v>
                </c:pt>
                <c:pt idx="9">
                  <c:v>24.7</c:v>
                </c:pt>
                <c:pt idx="10">
                  <c:v>25.7</c:v>
                </c:pt>
                <c:pt idx="11">
                  <c:v>25.6</c:v>
                </c:pt>
                <c:pt idx="12">
                  <c:v>25.2</c:v>
                </c:pt>
                <c:pt idx="13">
                  <c:v>25.5</c:v>
                </c:pt>
                <c:pt idx="14">
                  <c:v>25.9</c:v>
                </c:pt>
                <c:pt idx="15">
                  <c:v>25.1</c:v>
                </c:pt>
                <c:pt idx="16">
                  <c:v>26</c:v>
                </c:pt>
                <c:pt idx="17">
                  <c:v>26.4</c:v>
                </c:pt>
                <c:pt idx="18">
                  <c:v>27.1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284D-B4D9-B3D5868E8875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Frec'!$C$83:$C$103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3-284D-B4D9-B3D5868E8875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Frec'!$G$83:$G$103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3-284D-B4D9-B3D5868E8875}"/>
            </c:ext>
          </c:extLst>
        </c:ser>
        <c:ser>
          <c:idx val="3"/>
          <c:order val="3"/>
          <c:tx>
            <c:v>L2 (dB)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Frec'!$J$83:$J$103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3-284D-B4D9-B3D5868E8875}"/>
            </c:ext>
          </c:extLst>
        </c:ser>
        <c:ser>
          <c:idx val="4"/>
          <c:order val="4"/>
          <c:tx>
            <c:v>L2 (dB) corr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Frec'!$N$83:$N$103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3-284D-B4D9-B3D5868E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17005466615966E-2"/>
          <c:h val="0.20276641791694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Frec'!$D$110:$D$130</c:f>
              <c:numCache>
                <c:formatCode>0.0</c:formatCode>
                <c:ptCount val="21"/>
                <c:pt idx="0">
                  <c:v>28.4</c:v>
                </c:pt>
                <c:pt idx="1">
                  <c:v>22.1</c:v>
                </c:pt>
                <c:pt idx="2">
                  <c:v>20</c:v>
                </c:pt>
                <c:pt idx="3">
                  <c:v>20.100000000000001</c:v>
                </c:pt>
                <c:pt idx="4">
                  <c:v>19.8</c:v>
                </c:pt>
                <c:pt idx="5">
                  <c:v>22.5</c:v>
                </c:pt>
                <c:pt idx="6">
                  <c:v>20.5</c:v>
                </c:pt>
                <c:pt idx="7">
                  <c:v>21.1</c:v>
                </c:pt>
                <c:pt idx="8">
                  <c:v>21.4</c:v>
                </c:pt>
                <c:pt idx="9">
                  <c:v>21.2</c:v>
                </c:pt>
                <c:pt idx="10">
                  <c:v>21.7</c:v>
                </c:pt>
                <c:pt idx="11">
                  <c:v>22.4</c:v>
                </c:pt>
                <c:pt idx="12">
                  <c:v>23.8</c:v>
                </c:pt>
                <c:pt idx="13">
                  <c:v>23.1</c:v>
                </c:pt>
                <c:pt idx="14">
                  <c:v>24.8</c:v>
                </c:pt>
                <c:pt idx="15">
                  <c:v>24.2</c:v>
                </c:pt>
                <c:pt idx="16">
                  <c:v>25.6</c:v>
                </c:pt>
                <c:pt idx="17">
                  <c:v>26.4</c:v>
                </c:pt>
                <c:pt idx="18">
                  <c:v>27.8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7-2747-9C28-2F8851E30E51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Frec'!$C$110:$C$130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31.388756583947824</c:v>
                </c:pt>
                <c:pt idx="15">
                  <c:v>30.731937394773261</c:v>
                </c:pt>
                <c:pt idx="16">
                  <c:v>29.889388723128135</c:v>
                </c:pt>
                <c:pt idx="17">
                  <c:v>32.686168670258262</c:v>
                </c:pt>
                <c:pt idx="18">
                  <c:v>34.716466350192896</c:v>
                </c:pt>
                <c:pt idx="19">
                  <c:v>31.275575599272507</c:v>
                </c:pt>
                <c:pt idx="20">
                  <c:v>29.934693256289442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2747-9C28-2F8851E30E51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Frec'!$G$110:$G$130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30.327754865133937</c:v>
                </c:pt>
                <c:pt idx="15">
                  <c:v>29.59933287843533</c:v>
                </c:pt>
                <c:pt idx="16">
                  <c:v>28.589388723128135</c:v>
                </c:pt>
                <c:pt idx="17">
                  <c:v>31.539889447902311</c:v>
                </c:pt>
                <c:pt idx="18">
                  <c:v>33.708182358043587</c:v>
                </c:pt>
                <c:pt idx="19">
                  <c:v>29.975575599272506</c:v>
                </c:pt>
                <c:pt idx="20">
                  <c:v>28.634693256289442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7-2747-9C28-2F8851E3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258707683712488E-2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Frec'!$K$110:$K$130</c:f>
              <c:numCache>
                <c:formatCode>0.0</c:formatCode>
                <c:ptCount val="21"/>
                <c:pt idx="0">
                  <c:v>28.4</c:v>
                </c:pt>
                <c:pt idx="1">
                  <c:v>22.1</c:v>
                </c:pt>
                <c:pt idx="2">
                  <c:v>20</c:v>
                </c:pt>
                <c:pt idx="3">
                  <c:v>20.100000000000001</c:v>
                </c:pt>
                <c:pt idx="4">
                  <c:v>19.8</c:v>
                </c:pt>
                <c:pt idx="5">
                  <c:v>22.5</c:v>
                </c:pt>
                <c:pt idx="6">
                  <c:v>20.5</c:v>
                </c:pt>
                <c:pt idx="7">
                  <c:v>21.1</c:v>
                </c:pt>
                <c:pt idx="8">
                  <c:v>21.4</c:v>
                </c:pt>
                <c:pt idx="9">
                  <c:v>21.2</c:v>
                </c:pt>
                <c:pt idx="10">
                  <c:v>21.7</c:v>
                </c:pt>
                <c:pt idx="11">
                  <c:v>22.4</c:v>
                </c:pt>
                <c:pt idx="12">
                  <c:v>23.8</c:v>
                </c:pt>
                <c:pt idx="13">
                  <c:v>23.1</c:v>
                </c:pt>
                <c:pt idx="14">
                  <c:v>24.8</c:v>
                </c:pt>
                <c:pt idx="15">
                  <c:v>24.2</c:v>
                </c:pt>
                <c:pt idx="16">
                  <c:v>25.6</c:v>
                </c:pt>
                <c:pt idx="17">
                  <c:v>26.4</c:v>
                </c:pt>
                <c:pt idx="18">
                  <c:v>27.8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A-254D-BCE7-12DFC88C9953}"/>
            </c:ext>
          </c:extLst>
        </c:ser>
        <c:ser>
          <c:idx val="1"/>
          <c:order val="1"/>
          <c:tx>
            <c:v>L2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Frec'!$J$110:$J$130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32.729938532185329</c:v>
                </c:pt>
                <c:pt idx="14">
                  <c:v>30.437471542083866</c:v>
                </c:pt>
                <c:pt idx="15">
                  <c:v>30.267593247491487</c:v>
                </c:pt>
                <c:pt idx="16">
                  <c:v>29.132376066896178</c:v>
                </c:pt>
                <c:pt idx="17">
                  <c:v>31.117491715439304</c:v>
                </c:pt>
                <c:pt idx="18">
                  <c:v>32.315969572335405</c:v>
                </c:pt>
                <c:pt idx="19">
                  <c:v>29.618577376529323</c:v>
                </c:pt>
                <c:pt idx="20">
                  <c:v>29.349072297611901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A-254D-BCE7-12DFC88C9953}"/>
            </c:ext>
          </c:extLst>
        </c:ser>
        <c:ser>
          <c:idx val="2"/>
          <c:order val="2"/>
          <c:tx>
            <c:v>L2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Frec'!$N$110:$N$130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32.195618265823576</c:v>
                </c:pt>
                <c:pt idx="14">
                  <c:v>29.137471542083865</c:v>
                </c:pt>
                <c:pt idx="15">
                  <c:v>29.076759987667806</c:v>
                </c:pt>
                <c:pt idx="16">
                  <c:v>27.832376066896177</c:v>
                </c:pt>
                <c:pt idx="17">
                  <c:v>29.817491715439303</c:v>
                </c:pt>
                <c:pt idx="18">
                  <c:v>31.015969572335404</c:v>
                </c:pt>
                <c:pt idx="19">
                  <c:v>28.318577376529323</c:v>
                </c:pt>
                <c:pt idx="20">
                  <c:v>28.0490722976119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A-254D-BCE7-12DFC88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Habitación superior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Frec'!$P$5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Frec'!$P$6:$P$26</c:f>
              <c:numCache>
                <c:formatCode>0.00</c:formatCode>
                <c:ptCount val="21"/>
                <c:pt idx="0">
                  <c:v>55.78968669877586</c:v>
                </c:pt>
                <c:pt idx="1">
                  <c:v>41.87870631235171</c:v>
                </c:pt>
                <c:pt idx="2">
                  <c:v>42.974330120568673</c:v>
                </c:pt>
                <c:pt idx="3">
                  <c:v>45.58057539557722</c:v>
                </c:pt>
                <c:pt idx="4">
                  <c:v>51.402307668747888</c:v>
                </c:pt>
                <c:pt idx="5">
                  <c:v>59.638913667589321</c:v>
                </c:pt>
                <c:pt idx="6">
                  <c:v>61.863183376160769</c:v>
                </c:pt>
                <c:pt idx="7">
                  <c:v>56.648542896504864</c:v>
                </c:pt>
                <c:pt idx="8">
                  <c:v>63.081832100768381</c:v>
                </c:pt>
                <c:pt idx="9">
                  <c:v>61.35584161255764</c:v>
                </c:pt>
                <c:pt idx="10">
                  <c:v>56.594453374401326</c:v>
                </c:pt>
                <c:pt idx="11">
                  <c:v>51.330596221483141</c:v>
                </c:pt>
                <c:pt idx="12">
                  <c:v>48.676824642002366</c:v>
                </c:pt>
                <c:pt idx="13">
                  <c:v>47.31824779510498</c:v>
                </c:pt>
                <c:pt idx="14">
                  <c:v>46.772535079653082</c:v>
                </c:pt>
                <c:pt idx="15">
                  <c:v>43.064515358274164</c:v>
                </c:pt>
                <c:pt idx="16">
                  <c:v>44.001479565451724</c:v>
                </c:pt>
                <c:pt idx="17">
                  <c:v>50.165487423700547</c:v>
                </c:pt>
                <c:pt idx="18">
                  <c:v>52.287878101913506</c:v>
                </c:pt>
                <c:pt idx="19">
                  <c:v>46.419317992585661</c:v>
                </c:pt>
                <c:pt idx="20">
                  <c:v>39.484888238597001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5-8B43-A5A7-913EEE0EEE75}"/>
            </c:ext>
          </c:extLst>
        </c:ser>
        <c:ser>
          <c:idx val="1"/>
          <c:order val="1"/>
          <c:tx>
            <c:strRef>
              <c:f>'1º Alta Frec'!$Q$5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Frec'!$Q$6:$Q$26</c:f>
              <c:numCache>
                <c:formatCode>0.00</c:formatCode>
                <c:ptCount val="21"/>
                <c:pt idx="0">
                  <c:v>46.526660543631287</c:v>
                </c:pt>
                <c:pt idx="1">
                  <c:v>42.494247036623541</c:v>
                </c:pt>
                <c:pt idx="2">
                  <c:v>50.319312353838328</c:v>
                </c:pt>
                <c:pt idx="3">
                  <c:v>47.47168920859491</c:v>
                </c:pt>
                <c:pt idx="4">
                  <c:v>59.461361724241492</c:v>
                </c:pt>
                <c:pt idx="5">
                  <c:v>62.426854949923353</c:v>
                </c:pt>
                <c:pt idx="6">
                  <c:v>60.45438259823711</c:v>
                </c:pt>
                <c:pt idx="7">
                  <c:v>59.347670973270944</c:v>
                </c:pt>
                <c:pt idx="8">
                  <c:v>62.593729799839181</c:v>
                </c:pt>
                <c:pt idx="9">
                  <c:v>59.54741896470243</c:v>
                </c:pt>
                <c:pt idx="10">
                  <c:v>57.296832200278992</c:v>
                </c:pt>
                <c:pt idx="11">
                  <c:v>51.42319912071541</c:v>
                </c:pt>
                <c:pt idx="12">
                  <c:v>49.049187749760087</c:v>
                </c:pt>
                <c:pt idx="13">
                  <c:v>47.559063635854798</c:v>
                </c:pt>
                <c:pt idx="14">
                  <c:v>46.315230220909434</c:v>
                </c:pt>
                <c:pt idx="15">
                  <c:v>45.224184020606629</c:v>
                </c:pt>
                <c:pt idx="16">
                  <c:v>44.936277047003415</c:v>
                </c:pt>
                <c:pt idx="17">
                  <c:v>50.443251760199381</c:v>
                </c:pt>
                <c:pt idx="18">
                  <c:v>51.826432428907673</c:v>
                </c:pt>
                <c:pt idx="19">
                  <c:v>46.843600155770396</c:v>
                </c:pt>
                <c:pt idx="20">
                  <c:v>40.445147153564008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5-8B43-A5A7-913EEE0EEE75}"/>
            </c:ext>
          </c:extLst>
        </c:ser>
        <c:ser>
          <c:idx val="2"/>
          <c:order val="2"/>
          <c:tx>
            <c:strRef>
              <c:f>'1º Alta Frec'!$R$5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Frec'!$R$6:$R$26</c:f>
              <c:numCache>
                <c:formatCode>0.00</c:formatCode>
                <c:ptCount val="21"/>
                <c:pt idx="0">
                  <c:v>59.582931477682934</c:v>
                </c:pt>
                <c:pt idx="1">
                  <c:v>42.694363250051225</c:v>
                </c:pt>
                <c:pt idx="2">
                  <c:v>50.104093095234461</c:v>
                </c:pt>
                <c:pt idx="3">
                  <c:v>47.511398669651577</c:v>
                </c:pt>
                <c:pt idx="4">
                  <c:v>55.799221631458828</c:v>
                </c:pt>
                <c:pt idx="5">
                  <c:v>63.544694788115365</c:v>
                </c:pt>
                <c:pt idx="6">
                  <c:v>59.786989848954335</c:v>
                </c:pt>
                <c:pt idx="7">
                  <c:v>59.221481932912553</c:v>
                </c:pt>
                <c:pt idx="8">
                  <c:v>60.000269814899987</c:v>
                </c:pt>
                <c:pt idx="9">
                  <c:v>58.657710068566459</c:v>
                </c:pt>
                <c:pt idx="10">
                  <c:v>57.682916968209405</c:v>
                </c:pt>
                <c:pt idx="11">
                  <c:v>52.248898492540633</c:v>
                </c:pt>
                <c:pt idx="12">
                  <c:v>48.053345016070772</c:v>
                </c:pt>
                <c:pt idx="13">
                  <c:v>47.276751681736535</c:v>
                </c:pt>
                <c:pt idx="14">
                  <c:v>45.850445818901065</c:v>
                </c:pt>
                <c:pt idx="15">
                  <c:v>43.914423179626468</c:v>
                </c:pt>
                <c:pt idx="16">
                  <c:v>44.907521949495589</c:v>
                </c:pt>
                <c:pt idx="17">
                  <c:v>50.979661086627416</c:v>
                </c:pt>
                <c:pt idx="18">
                  <c:v>52.709049129486083</c:v>
                </c:pt>
                <c:pt idx="19">
                  <c:v>46.99254101344517</c:v>
                </c:pt>
                <c:pt idx="20">
                  <c:v>40.462085665975302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E5-8B43-A5A7-913EEE0EEE75}"/>
            </c:ext>
          </c:extLst>
        </c:ser>
        <c:ser>
          <c:idx val="3"/>
          <c:order val="3"/>
          <c:tx>
            <c:strRef>
              <c:f>'1º Alta Frec'!$S$5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Frec'!$S$6:$S$26</c:f>
              <c:numCache>
                <c:formatCode>0.00</c:formatCode>
                <c:ptCount val="21"/>
                <c:pt idx="0">
                  <c:v>60.533370098882344</c:v>
                </c:pt>
                <c:pt idx="1">
                  <c:v>40.994605283433891</c:v>
                </c:pt>
                <c:pt idx="2">
                  <c:v>50.05688986087435</c:v>
                </c:pt>
                <c:pt idx="3">
                  <c:v>47.996973185994179</c:v>
                </c:pt>
                <c:pt idx="4">
                  <c:v>57.54967747475991</c:v>
                </c:pt>
                <c:pt idx="5">
                  <c:v>61.318646430969238</c:v>
                </c:pt>
                <c:pt idx="6">
                  <c:v>59.414812374451976</c:v>
                </c:pt>
                <c:pt idx="7">
                  <c:v>59.575628866997711</c:v>
                </c:pt>
                <c:pt idx="8">
                  <c:v>63.9216657847482</c:v>
                </c:pt>
                <c:pt idx="9">
                  <c:v>60.237661307776357</c:v>
                </c:pt>
                <c:pt idx="10">
                  <c:v>57.652902818821346</c:v>
                </c:pt>
                <c:pt idx="11">
                  <c:v>52.53056075968928</c:v>
                </c:pt>
                <c:pt idx="12">
                  <c:v>49.918870201380429</c:v>
                </c:pt>
                <c:pt idx="13">
                  <c:v>48.29105877286554</c:v>
                </c:pt>
                <c:pt idx="14">
                  <c:v>47.760107737969172</c:v>
                </c:pt>
                <c:pt idx="15">
                  <c:v>46.287050648207376</c:v>
                </c:pt>
                <c:pt idx="16">
                  <c:v>47.554286623169595</c:v>
                </c:pt>
                <c:pt idx="17">
                  <c:v>54.910796344069624</c:v>
                </c:pt>
                <c:pt idx="18">
                  <c:v>56.83136947416164</c:v>
                </c:pt>
                <c:pt idx="19">
                  <c:v>50.433200468865387</c:v>
                </c:pt>
                <c:pt idx="20">
                  <c:v>43.341050586093864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E5-8B43-A5A7-913EEE0EEE75}"/>
            </c:ext>
          </c:extLst>
        </c:ser>
        <c:ser>
          <c:idx val="4"/>
          <c:order val="4"/>
          <c:tx>
            <c:strRef>
              <c:f>'1º Alta Frec'!$T$5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Frec'!$T$6:$T$26</c:f>
              <c:numCache>
                <c:formatCode>0.00</c:formatCode>
                <c:ptCount val="21"/>
                <c:pt idx="0">
                  <c:v>57.504116921279333</c:v>
                </c:pt>
                <c:pt idx="1">
                  <c:v>40.172887880883479</c:v>
                </c:pt>
                <c:pt idx="2">
                  <c:v>42.669053493753154</c:v>
                </c:pt>
                <c:pt idx="3">
                  <c:v>48.797236680556459</c:v>
                </c:pt>
                <c:pt idx="4">
                  <c:v>59.317377412340583</c:v>
                </c:pt>
                <c:pt idx="5">
                  <c:v>59.315413606873108</c:v>
                </c:pt>
                <c:pt idx="6">
                  <c:v>60.037357820000643</c:v>
                </c:pt>
                <c:pt idx="7">
                  <c:v>62.27843290770717</c:v>
                </c:pt>
                <c:pt idx="8">
                  <c:v>64.793341162388799</c:v>
                </c:pt>
                <c:pt idx="9">
                  <c:v>60.620819560929306</c:v>
                </c:pt>
                <c:pt idx="10">
                  <c:v>57.367041069044461</c:v>
                </c:pt>
                <c:pt idx="11">
                  <c:v>52.837579271737724</c:v>
                </c:pt>
                <c:pt idx="12">
                  <c:v>50.66378666382932</c:v>
                </c:pt>
                <c:pt idx="13">
                  <c:v>47.151827762542119</c:v>
                </c:pt>
                <c:pt idx="14">
                  <c:v>46.890673060391492</c:v>
                </c:pt>
                <c:pt idx="15">
                  <c:v>45.13378133037574</c:v>
                </c:pt>
                <c:pt idx="16">
                  <c:v>44.666434210977606</c:v>
                </c:pt>
                <c:pt idx="17">
                  <c:v>50.652511918566169</c:v>
                </c:pt>
                <c:pt idx="18">
                  <c:v>52.792205557146879</c:v>
                </c:pt>
                <c:pt idx="19">
                  <c:v>47.394746249625243</c:v>
                </c:pt>
                <c:pt idx="20">
                  <c:v>40.499934133122167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E5-8B43-A5A7-913EEE0EEE75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Frec'!$C$6:$C$26</c:f>
              <c:numCache>
                <c:formatCode>0.00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E5-8B43-A5A7-913EEE0E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5609123763479"/>
          <c:y val="0.11301085795137179"/>
          <c:w val="0.1004649298968712"/>
          <c:h val="0.2501886858550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Ruido Fondo Lb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Frec'!$D$110:$D$130</c:f>
              <c:numCache>
                <c:formatCode>0.0</c:formatCode>
                <c:ptCount val="21"/>
                <c:pt idx="0">
                  <c:v>28.4</c:v>
                </c:pt>
                <c:pt idx="1">
                  <c:v>22.1</c:v>
                </c:pt>
                <c:pt idx="2">
                  <c:v>20</c:v>
                </c:pt>
                <c:pt idx="3">
                  <c:v>20.100000000000001</c:v>
                </c:pt>
                <c:pt idx="4">
                  <c:v>19.8</c:v>
                </c:pt>
                <c:pt idx="5">
                  <c:v>22.5</c:v>
                </c:pt>
                <c:pt idx="6">
                  <c:v>20.5</c:v>
                </c:pt>
                <c:pt idx="7">
                  <c:v>21.1</c:v>
                </c:pt>
                <c:pt idx="8">
                  <c:v>21.4</c:v>
                </c:pt>
                <c:pt idx="9">
                  <c:v>21.2</c:v>
                </c:pt>
                <c:pt idx="10">
                  <c:v>21.7</c:v>
                </c:pt>
                <c:pt idx="11">
                  <c:v>22.4</c:v>
                </c:pt>
                <c:pt idx="12">
                  <c:v>23.8</c:v>
                </c:pt>
                <c:pt idx="13">
                  <c:v>23.1</c:v>
                </c:pt>
                <c:pt idx="14">
                  <c:v>24.8</c:v>
                </c:pt>
                <c:pt idx="15">
                  <c:v>24.2</c:v>
                </c:pt>
                <c:pt idx="16">
                  <c:v>25.6</c:v>
                </c:pt>
                <c:pt idx="17">
                  <c:v>26.4</c:v>
                </c:pt>
                <c:pt idx="18">
                  <c:v>27.8</c:v>
                </c:pt>
                <c:pt idx="19">
                  <c:v>28.1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F-1247-8105-CF10C4221508}"/>
            </c:ext>
          </c:extLst>
        </c:ser>
        <c:ser>
          <c:idx val="1"/>
          <c:order val="1"/>
          <c:tx>
            <c:v>L1 (db)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Frec'!$C$110:$C$130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31.388756583947824</c:v>
                </c:pt>
                <c:pt idx="15">
                  <c:v>30.731937394773261</c:v>
                </c:pt>
                <c:pt idx="16">
                  <c:v>29.889388723128135</c:v>
                </c:pt>
                <c:pt idx="17">
                  <c:v>32.686168670258262</c:v>
                </c:pt>
                <c:pt idx="18">
                  <c:v>34.716466350192896</c:v>
                </c:pt>
                <c:pt idx="19">
                  <c:v>31.275575599272507</c:v>
                </c:pt>
                <c:pt idx="20">
                  <c:v>29.934693256289442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F-1247-8105-CF10C4221508}"/>
            </c:ext>
          </c:extLst>
        </c:ser>
        <c:ser>
          <c:idx val="2"/>
          <c:order val="2"/>
          <c:tx>
            <c:v>L1 (dB) corr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Frec'!$G$110:$G$130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30.327754865133937</c:v>
                </c:pt>
                <c:pt idx="15">
                  <c:v>29.59933287843533</c:v>
                </c:pt>
                <c:pt idx="16">
                  <c:v>28.589388723128135</c:v>
                </c:pt>
                <c:pt idx="17">
                  <c:v>31.539889447902311</c:v>
                </c:pt>
                <c:pt idx="18">
                  <c:v>33.708182358043587</c:v>
                </c:pt>
                <c:pt idx="19">
                  <c:v>29.975575599272506</c:v>
                </c:pt>
                <c:pt idx="20">
                  <c:v>28.634693256289442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F-1247-8105-CF10C4221508}"/>
            </c:ext>
          </c:extLst>
        </c:ser>
        <c:ser>
          <c:idx val="3"/>
          <c:order val="3"/>
          <c:tx>
            <c:v>L2 (dB)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Frec'!$J$110:$J$130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32.729938532185329</c:v>
                </c:pt>
                <c:pt idx="14">
                  <c:v>30.437471542083866</c:v>
                </c:pt>
                <c:pt idx="15">
                  <c:v>30.267593247491487</c:v>
                </c:pt>
                <c:pt idx="16">
                  <c:v>29.132376066896178</c:v>
                </c:pt>
                <c:pt idx="17">
                  <c:v>31.117491715439304</c:v>
                </c:pt>
                <c:pt idx="18">
                  <c:v>32.315969572335405</c:v>
                </c:pt>
                <c:pt idx="19">
                  <c:v>29.618577376529323</c:v>
                </c:pt>
                <c:pt idx="20">
                  <c:v>29.349072297611901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F-1247-8105-CF10C4221508}"/>
            </c:ext>
          </c:extLst>
        </c:ser>
        <c:ser>
          <c:idx val="4"/>
          <c:order val="4"/>
          <c:tx>
            <c:v>L2 (dB) corr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Frec'!$N$110:$N$130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32.195618265823576</c:v>
                </c:pt>
                <c:pt idx="14">
                  <c:v>29.137471542083865</c:v>
                </c:pt>
                <c:pt idx="15">
                  <c:v>29.076759987667806</c:v>
                </c:pt>
                <c:pt idx="16">
                  <c:v>27.832376066896177</c:v>
                </c:pt>
                <c:pt idx="17">
                  <c:v>29.817491715439303</c:v>
                </c:pt>
                <c:pt idx="18">
                  <c:v>31.015969572335404</c:v>
                </c:pt>
                <c:pt idx="19">
                  <c:v>28.318577376529323</c:v>
                </c:pt>
                <c:pt idx="20">
                  <c:v>28.0490722976119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F-1247-8105-CF10C422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9.617005466615966E-2"/>
          <c:h val="0.20276641791694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Niveles Corregidos Con Ruido De Fondo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9885069510195916"/>
          <c:h val="0.78841387206931512"/>
        </c:manualLayout>
      </c:layout>
      <c:scatterChart>
        <c:scatterStyle val="lineMarker"/>
        <c:varyColors val="0"/>
        <c:ser>
          <c:idx val="2"/>
          <c:order val="0"/>
          <c:tx>
            <c:v>L1 hab sup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Frec'!$G$5:$G$25</c:f>
              <c:numCache>
                <c:formatCode>0.0</c:formatCode>
                <c:ptCount val="21"/>
                <c:pt idx="0">
                  <c:v>61.047693842712036</c:v>
                </c:pt>
                <c:pt idx="1">
                  <c:v>50.885519777909884</c:v>
                </c:pt>
                <c:pt idx="2">
                  <c:v>59.984939944526715</c:v>
                </c:pt>
                <c:pt idx="3">
                  <c:v>53.926802800208591</c:v>
                </c:pt>
                <c:pt idx="4">
                  <c:v>58.814238149878832</c:v>
                </c:pt>
                <c:pt idx="5">
                  <c:v>59.808364517411682</c:v>
                </c:pt>
                <c:pt idx="6">
                  <c:v>59.323538683774899</c:v>
                </c:pt>
                <c:pt idx="7">
                  <c:v>59.313837990393949</c:v>
                </c:pt>
                <c:pt idx="8">
                  <c:v>61.932624016548139</c:v>
                </c:pt>
                <c:pt idx="9">
                  <c:v>61.467825524824669</c:v>
                </c:pt>
                <c:pt idx="10">
                  <c:v>57.281997478535125</c:v>
                </c:pt>
                <c:pt idx="11">
                  <c:v>52.178802718145576</c:v>
                </c:pt>
                <c:pt idx="12">
                  <c:v>49.223937729612082</c:v>
                </c:pt>
                <c:pt idx="13">
                  <c:v>47.056554989526404</c:v>
                </c:pt>
                <c:pt idx="14">
                  <c:v>45.62805797706104</c:v>
                </c:pt>
                <c:pt idx="15">
                  <c:v>43.962104251281822</c:v>
                </c:pt>
                <c:pt idx="16">
                  <c:v>44.469718789996662</c:v>
                </c:pt>
                <c:pt idx="17">
                  <c:v>50.407145471981003</c:v>
                </c:pt>
                <c:pt idx="18">
                  <c:v>51.681472753214152</c:v>
                </c:pt>
                <c:pt idx="19">
                  <c:v>47.122976495568132</c:v>
                </c:pt>
                <c:pt idx="20">
                  <c:v>40.714775888036094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B-674D-B516-BD934F4DDE73}"/>
            </c:ext>
          </c:extLst>
        </c:ser>
        <c:ser>
          <c:idx val="0"/>
          <c:order val="1"/>
          <c:tx>
            <c:v>L2 hab sup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Frec'!$N$5:$N$25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B-674D-B516-BD934F4DDE73}"/>
            </c:ext>
          </c:extLst>
        </c:ser>
        <c:ser>
          <c:idx val="1"/>
          <c:order val="2"/>
          <c:tx>
            <c:v>L1 escaleras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Frec'!$J$31</c:f>
              <c:numCache>
                <c:formatCode>0.0</c:formatCode>
                <c:ptCount val="1"/>
                <c:pt idx="0">
                  <c:v>71.011640659216425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DB-674D-B516-BD934F4DDE73}"/>
            </c:ext>
          </c:extLst>
        </c:ser>
        <c:ser>
          <c:idx val="3"/>
          <c:order val="3"/>
          <c:tx>
            <c:v>L2 escaleras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Frec'!$N$31:$N$51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DB-674D-B516-BD934F4DDE73}"/>
            </c:ext>
          </c:extLst>
        </c:ser>
        <c:ser>
          <c:idx val="4"/>
          <c:order val="4"/>
          <c:tx>
            <c:v>L1 cocina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Frec'!$G$57:$G$77</c:f>
              <c:numCache>
                <c:formatCode>0.0</c:formatCode>
                <c:ptCount val="21"/>
                <c:pt idx="0">
                  <c:v>62.185416690603134</c:v>
                </c:pt>
                <c:pt idx="1">
                  <c:v>63.814501536034562</c:v>
                </c:pt>
                <c:pt idx="2">
                  <c:v>68.782358243584639</c:v>
                </c:pt>
                <c:pt idx="3">
                  <c:v>66.578354993990104</c:v>
                </c:pt>
                <c:pt idx="4">
                  <c:v>67.987170289641952</c:v>
                </c:pt>
                <c:pt idx="5">
                  <c:v>74.817372685774586</c:v>
                </c:pt>
                <c:pt idx="6">
                  <c:v>73.229083860402937</c:v>
                </c:pt>
                <c:pt idx="7">
                  <c:v>75.694631686089892</c:v>
                </c:pt>
                <c:pt idx="8">
                  <c:v>74.808993926225057</c:v>
                </c:pt>
                <c:pt idx="9">
                  <c:v>75.344376956663737</c:v>
                </c:pt>
                <c:pt idx="10">
                  <c:v>72.61839679768795</c:v>
                </c:pt>
                <c:pt idx="11">
                  <c:v>72.639907296909044</c:v>
                </c:pt>
                <c:pt idx="12">
                  <c:v>68.965871155351579</c:v>
                </c:pt>
                <c:pt idx="13">
                  <c:v>66.014556605571514</c:v>
                </c:pt>
                <c:pt idx="14">
                  <c:v>63.907435056714732</c:v>
                </c:pt>
                <c:pt idx="15">
                  <c:v>62.341818530163295</c:v>
                </c:pt>
                <c:pt idx="16">
                  <c:v>60.411918938310052</c:v>
                </c:pt>
                <c:pt idx="17">
                  <c:v>62.194517908736238</c:v>
                </c:pt>
                <c:pt idx="18">
                  <c:v>62.582832987417433</c:v>
                </c:pt>
                <c:pt idx="19">
                  <c:v>58.132364794909854</c:v>
                </c:pt>
                <c:pt idx="20">
                  <c:v>53.004510514782481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DB-674D-B516-BD934F4DDE73}"/>
            </c:ext>
          </c:extLst>
        </c:ser>
        <c:ser>
          <c:idx val="5"/>
          <c:order val="5"/>
          <c:tx>
            <c:v>L2 cocina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Frec'!$N$57:$N$77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DB-674D-B516-BD934F4DDE73}"/>
            </c:ext>
          </c:extLst>
        </c:ser>
        <c:ser>
          <c:idx val="6"/>
          <c:order val="6"/>
          <c:tx>
            <c:v>L1 salón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Frec'!$G$83:$G$103</c:f>
              <c:numCache>
                <c:formatCode>0.0</c:formatCode>
                <c:ptCount val="21"/>
                <c:pt idx="0">
                  <c:v>62.203847125982136</c:v>
                </c:pt>
                <c:pt idx="1">
                  <c:v>56.479854198432086</c:v>
                </c:pt>
                <c:pt idx="2">
                  <c:v>64.548331212128701</c:v>
                </c:pt>
                <c:pt idx="3">
                  <c:v>59.119915854453389</c:v>
                </c:pt>
                <c:pt idx="4">
                  <c:v>67.180322949173345</c:v>
                </c:pt>
                <c:pt idx="5">
                  <c:v>70.954735800386345</c:v>
                </c:pt>
                <c:pt idx="6">
                  <c:v>67.5335487123658</c:v>
                </c:pt>
                <c:pt idx="7">
                  <c:v>69.582611078377425</c:v>
                </c:pt>
                <c:pt idx="8">
                  <c:v>73.930540838231863</c:v>
                </c:pt>
                <c:pt idx="9">
                  <c:v>69.860124933559064</c:v>
                </c:pt>
                <c:pt idx="10">
                  <c:v>68.001798771761969</c:v>
                </c:pt>
                <c:pt idx="11">
                  <c:v>67.841459677421398</c:v>
                </c:pt>
                <c:pt idx="12">
                  <c:v>65.072922107337675</c:v>
                </c:pt>
                <c:pt idx="13">
                  <c:v>61.173154053452386</c:v>
                </c:pt>
                <c:pt idx="14">
                  <c:v>57.492899121960697</c:v>
                </c:pt>
                <c:pt idx="15">
                  <c:v>54.805106608620513</c:v>
                </c:pt>
                <c:pt idx="16">
                  <c:v>52.629164657318874</c:v>
                </c:pt>
                <c:pt idx="17">
                  <c:v>55.809615563508515</c:v>
                </c:pt>
                <c:pt idx="18">
                  <c:v>56.432449459187588</c:v>
                </c:pt>
                <c:pt idx="19">
                  <c:v>49.49366425659629</c:v>
                </c:pt>
                <c:pt idx="20">
                  <c:v>44.651419312717032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DB-674D-B516-BD934F4DDE73}"/>
            </c:ext>
          </c:extLst>
        </c:ser>
        <c:ser>
          <c:idx val="7"/>
          <c:order val="7"/>
          <c:tx>
            <c:v>L2 salón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Frec'!$N$83:$N$103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DB-674D-B516-BD934F4DDE73}"/>
            </c:ext>
          </c:extLst>
        </c:ser>
        <c:ser>
          <c:idx val="8"/>
          <c:order val="8"/>
          <c:tx>
            <c:v>L1 hab inf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Frec'!$G$110:$G$130</c:f>
              <c:numCache>
                <c:formatCode>0.0</c:formatCode>
                <c:ptCount val="21"/>
                <c:pt idx="0">
                  <c:v>50.927637327275932</c:v>
                </c:pt>
                <c:pt idx="1">
                  <c:v>36.604431358309782</c:v>
                </c:pt>
                <c:pt idx="2">
                  <c:v>48.317311495961107</c:v>
                </c:pt>
                <c:pt idx="3">
                  <c:v>43.139258373893568</c:v>
                </c:pt>
                <c:pt idx="4">
                  <c:v>45.798155537483645</c:v>
                </c:pt>
                <c:pt idx="5">
                  <c:v>49.674902743879095</c:v>
                </c:pt>
                <c:pt idx="6">
                  <c:v>48.395428244009338</c:v>
                </c:pt>
                <c:pt idx="7">
                  <c:v>47.953657390698716</c:v>
                </c:pt>
                <c:pt idx="8">
                  <c:v>47.688840939966099</c:v>
                </c:pt>
                <c:pt idx="9">
                  <c:v>47.966171829538595</c:v>
                </c:pt>
                <c:pt idx="10">
                  <c:v>44.361775964907473</c:v>
                </c:pt>
                <c:pt idx="11">
                  <c:v>39.775199907635994</c:v>
                </c:pt>
                <c:pt idx="12">
                  <c:v>35.209156225785826</c:v>
                </c:pt>
                <c:pt idx="13">
                  <c:v>33.469854877434898</c:v>
                </c:pt>
                <c:pt idx="14">
                  <c:v>30.327754865133937</c:v>
                </c:pt>
                <c:pt idx="15">
                  <c:v>29.59933287843533</c:v>
                </c:pt>
                <c:pt idx="16">
                  <c:v>28.589388723128135</c:v>
                </c:pt>
                <c:pt idx="17">
                  <c:v>31.539889447902311</c:v>
                </c:pt>
                <c:pt idx="18">
                  <c:v>33.708182358043587</c:v>
                </c:pt>
                <c:pt idx="19">
                  <c:v>29.975575599272506</c:v>
                </c:pt>
                <c:pt idx="20">
                  <c:v>28.634693256289442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DB-674D-B516-BD934F4DDE73}"/>
            </c:ext>
          </c:extLst>
        </c:ser>
        <c:ser>
          <c:idx val="9"/>
          <c:order val="9"/>
          <c:tx>
            <c:v>L2 hab inf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'2º Alta Frec'!$N$110:$N$130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32.195618265823576</c:v>
                </c:pt>
                <c:pt idx="14">
                  <c:v>29.137471542083865</c:v>
                </c:pt>
                <c:pt idx="15">
                  <c:v>29.076759987667806</c:v>
                </c:pt>
                <c:pt idx="16">
                  <c:v>27.832376066896177</c:v>
                </c:pt>
                <c:pt idx="17">
                  <c:v>29.817491715439303</c:v>
                </c:pt>
                <c:pt idx="18">
                  <c:v>31.015969572335404</c:v>
                </c:pt>
                <c:pt idx="19">
                  <c:v>28.318577376529323</c:v>
                </c:pt>
                <c:pt idx="20">
                  <c:v>28.0490722976119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DB-674D-B516-BD934F4D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7.8188163547388764E-2"/>
          <c:h val="0.41431920207024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DnT1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Frec'!$H$5:$H$25</c:f>
              <c:numCache>
                <c:formatCode>0.0</c:formatCode>
                <c:ptCount val="21"/>
                <c:pt idx="0">
                  <c:v>25.200795838349979</c:v>
                </c:pt>
                <c:pt idx="1">
                  <c:v>37.678395830980264</c:v>
                </c:pt>
                <c:pt idx="2">
                  <c:v>31.200881098850534</c:v>
                </c:pt>
                <c:pt idx="3">
                  <c:v>35.199794264902579</c:v>
                </c:pt>
                <c:pt idx="4">
                  <c:v>32.633207931938273</c:v>
                </c:pt>
                <c:pt idx="5">
                  <c:v>36.492517484172531</c:v>
                </c:pt>
                <c:pt idx="6">
                  <c:v>40.595516030889371</c:v>
                </c:pt>
                <c:pt idx="7">
                  <c:v>44.664967848034117</c:v>
                </c:pt>
                <c:pt idx="8">
                  <c:v>41.118595054109917</c:v>
                </c:pt>
                <c:pt idx="9">
                  <c:v>40.820932857828694</c:v>
                </c:pt>
                <c:pt idx="10">
                  <c:v>42.541698650489622</c:v>
                </c:pt>
                <c:pt idx="11">
                  <c:v>47.265236135044368</c:v>
                </c:pt>
                <c:pt idx="12">
                  <c:v>50.227908414805519</c:v>
                </c:pt>
                <c:pt idx="13">
                  <c:v>52.378241936338526</c:v>
                </c:pt>
                <c:pt idx="14">
                  <c:v>50.760382130664588</c:v>
                </c:pt>
                <c:pt idx="15">
                  <c:v>51.890913327831477</c:v>
                </c:pt>
                <c:pt idx="16">
                  <c:v>51.214360820570683</c:v>
                </c:pt>
                <c:pt idx="17">
                  <c:v>46.628162258463888</c:v>
                </c:pt>
                <c:pt idx="18">
                  <c:v>42.404705309151787</c:v>
                </c:pt>
                <c:pt idx="19">
                  <c:v>43.579631039541503</c:v>
                </c:pt>
                <c:pt idx="20">
                  <c:v>48.64059499547006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1-FB42-8F1B-5839168DD565}"/>
            </c:ext>
          </c:extLst>
        </c:ser>
        <c:ser>
          <c:idx val="1"/>
          <c:order val="1"/>
          <c:tx>
            <c:v>R'1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Frec'!$J$5:$J$25</c:f>
              <c:numCache>
                <c:formatCode>0.0</c:formatCode>
                <c:ptCount val="21"/>
                <c:pt idx="0">
                  <c:v>26.169895968430541</c:v>
                </c:pt>
                <c:pt idx="1">
                  <c:v>38.647495961060827</c:v>
                </c:pt>
                <c:pt idx="2">
                  <c:v>32.1699812289311</c:v>
                </c:pt>
                <c:pt idx="3">
                  <c:v>36.168894394983141</c:v>
                </c:pt>
                <c:pt idx="4">
                  <c:v>33.602308062018835</c:v>
                </c:pt>
                <c:pt idx="5">
                  <c:v>37.461617614253093</c:v>
                </c:pt>
                <c:pt idx="6">
                  <c:v>41.564616160969933</c:v>
                </c:pt>
                <c:pt idx="7">
                  <c:v>45.634067978114679</c:v>
                </c:pt>
                <c:pt idx="8">
                  <c:v>42.08769518419048</c:v>
                </c:pt>
                <c:pt idx="9">
                  <c:v>41.790032987909257</c:v>
                </c:pt>
                <c:pt idx="10">
                  <c:v>43.510798780570184</c:v>
                </c:pt>
                <c:pt idx="11">
                  <c:v>48.234336265124938</c:v>
                </c:pt>
                <c:pt idx="12">
                  <c:v>51.197008544886081</c:v>
                </c:pt>
                <c:pt idx="13">
                  <c:v>53.347342066419088</c:v>
                </c:pt>
                <c:pt idx="14">
                  <c:v>51.729482260745151</c:v>
                </c:pt>
                <c:pt idx="15">
                  <c:v>52.860013457912039</c:v>
                </c:pt>
                <c:pt idx="16">
                  <c:v>52.183460950651245</c:v>
                </c:pt>
                <c:pt idx="17">
                  <c:v>47.597262388544451</c:v>
                </c:pt>
                <c:pt idx="18">
                  <c:v>43.373805439232356</c:v>
                </c:pt>
                <c:pt idx="19">
                  <c:v>44.548731169622066</c:v>
                </c:pt>
                <c:pt idx="20">
                  <c:v>49.60969512555063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1-FB42-8F1B-5839168DD565}"/>
            </c:ext>
          </c:extLst>
        </c:ser>
        <c:ser>
          <c:idx val="2"/>
          <c:order val="2"/>
          <c:tx>
            <c:v>DnT2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Frec'!$R$5:$R$25</c:f>
              <c:numCache>
                <c:formatCode>0.0</c:formatCode>
                <c:ptCount val="21"/>
                <c:pt idx="0">
                  <c:v>28.328391155282088</c:v>
                </c:pt>
                <c:pt idx="1">
                  <c:v>43.433076271830657</c:v>
                </c:pt>
                <c:pt idx="2">
                  <c:v>44.035932322292481</c:v>
                </c:pt>
                <c:pt idx="3">
                  <c:v>44.383819252317181</c:v>
                </c:pt>
                <c:pt idx="4">
                  <c:v>33.997731621931855</c:v>
                </c:pt>
                <c:pt idx="5">
                  <c:v>38.7274888635949</c:v>
                </c:pt>
                <c:pt idx="6">
                  <c:v>38.356675979562283</c:v>
                </c:pt>
                <c:pt idx="7">
                  <c:v>40.67342233098362</c:v>
                </c:pt>
                <c:pt idx="8">
                  <c:v>39.303733731461435</c:v>
                </c:pt>
                <c:pt idx="9">
                  <c:v>41.22671899595732</c:v>
                </c:pt>
                <c:pt idx="10">
                  <c:v>42.697234256077444</c:v>
                </c:pt>
                <c:pt idx="11">
                  <c:v>48.089875784494701</c:v>
                </c:pt>
                <c:pt idx="12">
                  <c:v>49.47119592587925</c:v>
                </c:pt>
                <c:pt idx="13">
                  <c:v>51.075368119574904</c:v>
                </c:pt>
                <c:pt idx="14">
                  <c:v>49.618343680816778</c:v>
                </c:pt>
                <c:pt idx="15">
                  <c:v>50.434317104033802</c:v>
                </c:pt>
                <c:pt idx="16">
                  <c:v>49.666199383787593</c:v>
                </c:pt>
                <c:pt idx="17">
                  <c:v>44.991619436750305</c:v>
                </c:pt>
                <c:pt idx="18">
                  <c:v>40.609525099021475</c:v>
                </c:pt>
                <c:pt idx="19">
                  <c:v>42.535711524702556</c:v>
                </c:pt>
                <c:pt idx="20">
                  <c:v>48.006119233881819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1-FB42-8F1B-5839168DD565}"/>
            </c:ext>
          </c:extLst>
        </c:ser>
        <c:ser>
          <c:idx val="3"/>
          <c:order val="3"/>
          <c:tx>
            <c:v>R'2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Frec'!$T$5:$T$25</c:f>
              <c:numCache>
                <c:formatCode>0.0</c:formatCode>
                <c:ptCount val="21"/>
                <c:pt idx="0">
                  <c:v>29.29749128536265</c:v>
                </c:pt>
                <c:pt idx="1">
                  <c:v>44.40217640191122</c:v>
                </c:pt>
                <c:pt idx="2">
                  <c:v>45.005032452373044</c:v>
                </c:pt>
                <c:pt idx="3">
                  <c:v>45.352919382397744</c:v>
                </c:pt>
                <c:pt idx="4">
                  <c:v>34.966831752012418</c:v>
                </c:pt>
                <c:pt idx="5">
                  <c:v>39.696588993675462</c:v>
                </c:pt>
                <c:pt idx="6">
                  <c:v>39.325776109642845</c:v>
                </c:pt>
                <c:pt idx="7">
                  <c:v>41.642522461064182</c:v>
                </c:pt>
                <c:pt idx="8">
                  <c:v>40.272833861541997</c:v>
                </c:pt>
                <c:pt idx="9">
                  <c:v>42.195819126037883</c:v>
                </c:pt>
                <c:pt idx="10">
                  <c:v>43.666334386158006</c:v>
                </c:pt>
                <c:pt idx="11">
                  <c:v>49.058975914575271</c:v>
                </c:pt>
                <c:pt idx="12">
                  <c:v>50.440296055959813</c:v>
                </c:pt>
                <c:pt idx="13">
                  <c:v>52.044468249655466</c:v>
                </c:pt>
                <c:pt idx="14">
                  <c:v>50.587443810897341</c:v>
                </c:pt>
                <c:pt idx="15">
                  <c:v>51.403417234114364</c:v>
                </c:pt>
                <c:pt idx="16">
                  <c:v>50.635299513868155</c:v>
                </c:pt>
                <c:pt idx="17">
                  <c:v>45.960719566830868</c:v>
                </c:pt>
                <c:pt idx="18">
                  <c:v>41.578625229102045</c:v>
                </c:pt>
                <c:pt idx="19">
                  <c:v>43.504811654783119</c:v>
                </c:pt>
                <c:pt idx="20">
                  <c:v>48.975219363962388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1-2E4B-9FBE-2663C846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4100126651236"/>
          <c:y val="0.60374780331886968"/>
          <c:w val="5.6134045263243081E-2"/>
          <c:h val="0.16442728515818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superior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D'n2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Frec'!$R$5:$R$25</c:f>
              <c:numCache>
                <c:formatCode>0.0</c:formatCode>
                <c:ptCount val="21"/>
                <c:pt idx="0">
                  <c:v>28.328391155282088</c:v>
                </c:pt>
                <c:pt idx="1">
                  <c:v>43.433076271830657</c:v>
                </c:pt>
                <c:pt idx="2">
                  <c:v>44.035932322292481</c:v>
                </c:pt>
                <c:pt idx="3">
                  <c:v>44.383819252317181</c:v>
                </c:pt>
                <c:pt idx="4">
                  <c:v>33.997731621931855</c:v>
                </c:pt>
                <c:pt idx="5">
                  <c:v>38.7274888635949</c:v>
                </c:pt>
                <c:pt idx="6">
                  <c:v>38.356675979562283</c:v>
                </c:pt>
                <c:pt idx="7">
                  <c:v>40.67342233098362</c:v>
                </c:pt>
                <c:pt idx="8">
                  <c:v>39.303733731461435</c:v>
                </c:pt>
                <c:pt idx="9">
                  <c:v>41.22671899595732</c:v>
                </c:pt>
                <c:pt idx="10">
                  <c:v>42.697234256077444</c:v>
                </c:pt>
                <c:pt idx="11">
                  <c:v>48.089875784494701</c:v>
                </c:pt>
                <c:pt idx="12">
                  <c:v>49.47119592587925</c:v>
                </c:pt>
                <c:pt idx="13">
                  <c:v>51.075368119574904</c:v>
                </c:pt>
                <c:pt idx="14">
                  <c:v>49.618343680816778</c:v>
                </c:pt>
                <c:pt idx="15">
                  <c:v>50.434317104033802</c:v>
                </c:pt>
                <c:pt idx="16">
                  <c:v>49.666199383787593</c:v>
                </c:pt>
                <c:pt idx="17">
                  <c:v>44.991619436750305</c:v>
                </c:pt>
                <c:pt idx="18">
                  <c:v>40.609525099021475</c:v>
                </c:pt>
                <c:pt idx="19">
                  <c:v>42.535711524702556</c:v>
                </c:pt>
                <c:pt idx="20">
                  <c:v>48.006119233881819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F-DD4C-A842-D1C3BA4252C9}"/>
            </c:ext>
          </c:extLst>
        </c:ser>
        <c:ser>
          <c:idx val="1"/>
          <c:order val="1"/>
          <c:tx>
            <c:v>L1 (db) (fuente)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Frec'!$N$5:$N$25</c:f>
              <c:numCache>
                <c:formatCode>0.0</c:formatCode>
                <c:ptCount val="21"/>
                <c:pt idx="0">
                  <c:v>82.031487789706134</c:v>
                </c:pt>
                <c:pt idx="1">
                  <c:v>84.926320880289765</c:v>
                </c:pt>
                <c:pt idx="2">
                  <c:v>92.31282432570346</c:v>
                </c:pt>
                <c:pt idx="3">
                  <c:v>89.281706899882906</c:v>
                </c:pt>
                <c:pt idx="4">
                  <c:v>90.726328452967522</c:v>
                </c:pt>
                <c:pt idx="5">
                  <c:v>99.78235359811535</c:v>
                </c:pt>
                <c:pt idx="6">
                  <c:v>99.310550125029948</c:v>
                </c:pt>
                <c:pt idx="7">
                  <c:v>100.28524536613884</c:v>
                </c:pt>
                <c:pt idx="8">
                  <c:v>102.04222928805258</c:v>
                </c:pt>
                <c:pt idx="9">
                  <c:v>102.06166313032973</c:v>
                </c:pt>
                <c:pt idx="10">
                  <c:v>101.22517207481599</c:v>
                </c:pt>
                <c:pt idx="11">
                  <c:v>101.06695423228004</c:v>
                </c:pt>
                <c:pt idx="12">
                  <c:v>99.397664924240672</c:v>
                </c:pt>
                <c:pt idx="13">
                  <c:v>98.614582815526859</c:v>
                </c:pt>
                <c:pt idx="14">
                  <c:v>96.938807618099233</c:v>
                </c:pt>
                <c:pt idx="15">
                  <c:v>95.758208487809199</c:v>
                </c:pt>
                <c:pt idx="16">
                  <c:v>95.723820328479519</c:v>
                </c:pt>
                <c:pt idx="17">
                  <c:v>97.498907411787471</c:v>
                </c:pt>
                <c:pt idx="18">
                  <c:v>95.202465835333484</c:v>
                </c:pt>
                <c:pt idx="19">
                  <c:v>91.39499958759076</c:v>
                </c:pt>
                <c:pt idx="20">
                  <c:v>90.149547037188398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F-DD4C-A842-D1C3BA4252C9}"/>
            </c:ext>
          </c:extLst>
        </c:ser>
        <c:ser>
          <c:idx val="2"/>
          <c:order val="2"/>
          <c:tx>
            <c:v>L2 (dB) (receptor)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Frec'!$M$5:$M$25</c:f>
              <c:numCache>
                <c:formatCode>0.0</c:formatCode>
                <c:ptCount val="21"/>
                <c:pt idx="0">
                  <c:v>57.819293694056348</c:v>
                </c:pt>
                <c:pt idx="1">
                  <c:v>41.74630326110681</c:v>
                </c:pt>
                <c:pt idx="2">
                  <c:v>48.447225396398785</c:v>
                </c:pt>
                <c:pt idx="3">
                  <c:v>47.59301708974489</c:v>
                </c:pt>
                <c:pt idx="4">
                  <c:v>57.520409291511918</c:v>
                </c:pt>
                <c:pt idx="5">
                  <c:v>61.547044961222269</c:v>
                </c:pt>
                <c:pt idx="6">
                  <c:v>60.398700866969349</c:v>
                </c:pt>
                <c:pt idx="7">
                  <c:v>59.782156428143026</c:v>
                </c:pt>
                <c:pt idx="8">
                  <c:v>63.1524224081734</c:v>
                </c:pt>
                <c:pt idx="9">
                  <c:v>60.179928646808094</c:v>
                </c:pt>
                <c:pt idx="10">
                  <c:v>57.336073741546457</c:v>
                </c:pt>
                <c:pt idx="11">
                  <c:v>52.115216971622502</c:v>
                </c:pt>
                <c:pt idx="12">
                  <c:v>49.371295719863106</c:v>
                </c:pt>
                <c:pt idx="13">
                  <c:v>47.539214695951955</c:v>
                </c:pt>
                <c:pt idx="14">
                  <c:v>46.765290658784139</c:v>
                </c:pt>
                <c:pt idx="15">
                  <c:v>44.866316478168649</c:v>
                </c:pt>
                <c:pt idx="16">
                  <c:v>45.402605457127606</c:v>
                </c:pt>
                <c:pt idx="17">
                  <c:v>51.852272487472845</c:v>
                </c:pt>
                <c:pt idx="18">
                  <c:v>53.731079260149173</c:v>
                </c:pt>
                <c:pt idx="19">
                  <c:v>47.890187932807642</c:v>
                </c:pt>
                <c:pt idx="20">
                  <c:v>41.06437383021138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F-DD4C-A842-D1C3BA42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D'n2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Frec'!$R$31:$R$51</c:f>
              <c:numCache>
                <c:formatCode>0.0</c:formatCode>
                <c:ptCount val="21"/>
                <c:pt idx="0">
                  <c:v>21.506907111020713</c:v>
                </c:pt>
                <c:pt idx="1">
                  <c:v>32.517054577303959</c:v>
                </c:pt>
                <c:pt idx="2">
                  <c:v>17.187800656621281</c:v>
                </c:pt>
                <c:pt idx="3">
                  <c:v>23.998454268398245</c:v>
                </c:pt>
                <c:pt idx="4">
                  <c:v>23.955603404422344</c:v>
                </c:pt>
                <c:pt idx="5">
                  <c:v>19.227486015762079</c:v>
                </c:pt>
                <c:pt idx="6">
                  <c:v>13.374115368729152</c:v>
                </c:pt>
                <c:pt idx="7">
                  <c:v>10.677727586726252</c:v>
                </c:pt>
                <c:pt idx="8">
                  <c:v>17.543689401553454</c:v>
                </c:pt>
                <c:pt idx="9">
                  <c:v>20.399050573042533</c:v>
                </c:pt>
                <c:pt idx="10">
                  <c:v>22.138761811915323</c:v>
                </c:pt>
                <c:pt idx="11">
                  <c:v>24.085824675311041</c:v>
                </c:pt>
                <c:pt idx="12">
                  <c:v>24.214778286408706</c:v>
                </c:pt>
                <c:pt idx="13">
                  <c:v>23.403918645905449</c:v>
                </c:pt>
                <c:pt idx="14">
                  <c:v>23.508541798709647</c:v>
                </c:pt>
                <c:pt idx="15">
                  <c:v>23.79173908271461</c:v>
                </c:pt>
                <c:pt idx="16">
                  <c:v>22.426499587782249</c:v>
                </c:pt>
                <c:pt idx="17">
                  <c:v>20.523963965155676</c:v>
                </c:pt>
                <c:pt idx="18">
                  <c:v>17.840259542595444</c:v>
                </c:pt>
                <c:pt idx="19">
                  <c:v>19.272511832467345</c:v>
                </c:pt>
                <c:pt idx="20">
                  <c:v>21.758217398604874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0-9640-9800-C1E9FBF16DAC}"/>
            </c:ext>
          </c:extLst>
        </c:ser>
        <c:ser>
          <c:idx val="1"/>
          <c:order val="1"/>
          <c:tx>
            <c:v>L1 (db) (fuente)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Frec'!$N$31:$N$51</c:f>
              <c:numCache>
                <c:formatCode>0.0</c:formatCode>
                <c:ptCount val="21"/>
                <c:pt idx="0">
                  <c:v>88.402350710604836</c:v>
                </c:pt>
                <c:pt idx="1">
                  <c:v>97.356613476376396</c:v>
                </c:pt>
                <c:pt idx="2">
                  <c:v>93.925089223427136</c:v>
                </c:pt>
                <c:pt idx="3">
                  <c:v>96.413643612555049</c:v>
                </c:pt>
                <c:pt idx="4">
                  <c:v>97.16869261156549</c:v>
                </c:pt>
                <c:pt idx="5">
                  <c:v>107.0180660994918</c:v>
                </c:pt>
                <c:pt idx="6">
                  <c:v>103.29527494237567</c:v>
                </c:pt>
                <c:pt idx="7">
                  <c:v>103.33741121660132</c:v>
                </c:pt>
                <c:pt idx="8">
                  <c:v>104.81396516338114</c:v>
                </c:pt>
                <c:pt idx="9">
                  <c:v>106.7436831046365</c:v>
                </c:pt>
                <c:pt idx="10">
                  <c:v>105.17414551849207</c:v>
                </c:pt>
                <c:pt idx="11">
                  <c:v>104.8050789768468</c:v>
                </c:pt>
                <c:pt idx="12">
                  <c:v>103.59251642245471</c:v>
                </c:pt>
                <c:pt idx="13">
                  <c:v>101.0841108292793</c:v>
                </c:pt>
                <c:pt idx="14">
                  <c:v>99.767689122797591</c:v>
                </c:pt>
                <c:pt idx="15">
                  <c:v>98.610882631472109</c:v>
                </c:pt>
                <c:pt idx="16">
                  <c:v>97.782662632077759</c:v>
                </c:pt>
                <c:pt idx="17">
                  <c:v>99.414643847974006</c:v>
                </c:pt>
                <c:pt idx="18">
                  <c:v>97.082410695841133</c:v>
                </c:pt>
                <c:pt idx="19">
                  <c:v>93.658304478209885</c:v>
                </c:pt>
                <c:pt idx="20">
                  <c:v>92.318642969588055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0-9640-9800-C1E9FBF16DAC}"/>
            </c:ext>
          </c:extLst>
        </c:ser>
        <c:ser>
          <c:idx val="2"/>
          <c:order val="2"/>
          <c:tx>
            <c:v>L2 (dB) (receptor)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Frec'!$M$31:$M$51</c:f>
              <c:numCache>
                <c:formatCode>0.0</c:formatCode>
                <c:ptCount val="21"/>
                <c:pt idx="0">
                  <c:v>71.011640659216425</c:v>
                </c:pt>
                <c:pt idx="1">
                  <c:v>65.092617551720139</c:v>
                </c:pt>
                <c:pt idx="2">
                  <c:v>76.907621959793659</c:v>
                </c:pt>
                <c:pt idx="3">
                  <c:v>75.110318786335966</c:v>
                </c:pt>
                <c:pt idx="4">
                  <c:v>74.004901667619393</c:v>
                </c:pt>
                <c:pt idx="5">
                  <c:v>88.282760310431541</c:v>
                </c:pt>
                <c:pt idx="6">
                  <c:v>89.365986295148204</c:v>
                </c:pt>
                <c:pt idx="7">
                  <c:v>92.830017022862876</c:v>
                </c:pt>
                <c:pt idx="8">
                  <c:v>87.684202613409937</c:v>
                </c:pt>
                <c:pt idx="9">
                  <c:v>85.689617044029646</c:v>
                </c:pt>
                <c:pt idx="10">
                  <c:v>81.843519629384659</c:v>
                </c:pt>
                <c:pt idx="11">
                  <c:v>79.857392825372926</c:v>
                </c:pt>
                <c:pt idx="12">
                  <c:v>78.82256485754769</c:v>
                </c:pt>
                <c:pt idx="13">
                  <c:v>77.680192183373848</c:v>
                </c:pt>
                <c:pt idx="14">
                  <c:v>75.703974045589632</c:v>
                </c:pt>
                <c:pt idx="15">
                  <c:v>74.361568643150747</c:v>
                </c:pt>
                <c:pt idx="16">
                  <c:v>74.701147556731186</c:v>
                </c:pt>
                <c:pt idx="17">
                  <c:v>78.235664395254005</c:v>
                </c:pt>
                <c:pt idx="18">
                  <c:v>78.380289677082857</c:v>
                </c:pt>
                <c:pt idx="19">
                  <c:v>73.416692515661978</c:v>
                </c:pt>
                <c:pt idx="20">
                  <c:v>69.481371597887986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0-9640-9800-C1E9FBF1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D'n2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Frec'!$R$58:$R$78</c:f>
              <c:numCache>
                <c:formatCode>0.0</c:formatCode>
                <c:ptCount val="21"/>
                <c:pt idx="0">
                  <c:v>20.723412121435519</c:v>
                </c:pt>
                <c:pt idx="1">
                  <c:v>34.038384578755561</c:v>
                </c:pt>
                <c:pt idx="2">
                  <c:v>32.524936447747741</c:v>
                </c:pt>
                <c:pt idx="3">
                  <c:v>34.06295428423644</c:v>
                </c:pt>
                <c:pt idx="4">
                  <c:v>35.129119501337527</c:v>
                </c:pt>
                <c:pt idx="5">
                  <c:v>29.219998934133098</c:v>
                </c:pt>
                <c:pt idx="6">
                  <c:v>38.903759267218732</c:v>
                </c:pt>
                <c:pt idx="7">
                  <c:v>37.455042344770625</c:v>
                </c:pt>
                <c:pt idx="8">
                  <c:v>32.102100415782466</c:v>
                </c:pt>
                <c:pt idx="9">
                  <c:v>35.484267926223474</c:v>
                </c:pt>
                <c:pt idx="10">
                  <c:v>35.33558385277221</c:v>
                </c:pt>
                <c:pt idx="11">
                  <c:v>38.802974936746089</c:v>
                </c:pt>
                <c:pt idx="12">
                  <c:v>41.284483315165659</c:v>
                </c:pt>
                <c:pt idx="13">
                  <c:v>42.274811098248961</c:v>
                </c:pt>
                <c:pt idx="14">
                  <c:v>43.625290324608528</c:v>
                </c:pt>
                <c:pt idx="15">
                  <c:v>44.037747511986097</c:v>
                </c:pt>
                <c:pt idx="16">
                  <c:v>44.753301309217655</c:v>
                </c:pt>
                <c:pt idx="17">
                  <c:v>44.283893847973609</c:v>
                </c:pt>
                <c:pt idx="18">
                  <c:v>41.111546822010702</c:v>
                </c:pt>
                <c:pt idx="19">
                  <c:v>42.814380266311836</c:v>
                </c:pt>
                <c:pt idx="20">
                  <c:v>46.047484874981436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3-E041-AB0B-81A4ECC0EF38}"/>
            </c:ext>
          </c:extLst>
        </c:ser>
        <c:ser>
          <c:idx val="1"/>
          <c:order val="1"/>
          <c:tx>
            <c:v>L1 (db) (fuente)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Frec'!$N$58:$N$78</c:f>
              <c:numCache>
                <c:formatCode>0.0</c:formatCode>
                <c:ptCount val="21"/>
                <c:pt idx="0">
                  <c:v>85.567594562429491</c:v>
                </c:pt>
                <c:pt idx="1">
                  <c:v>88.30030833937785</c:v>
                </c:pt>
                <c:pt idx="2">
                  <c:v>90.777249325956575</c:v>
                </c:pt>
                <c:pt idx="3">
                  <c:v>85.466273166969557</c:v>
                </c:pt>
                <c:pt idx="4">
                  <c:v>87.200657739676245</c:v>
                </c:pt>
                <c:pt idx="5">
                  <c:v>97.739709994970326</c:v>
                </c:pt>
                <c:pt idx="6">
                  <c:v>102.16589138892232</c:v>
                </c:pt>
                <c:pt idx="7">
                  <c:v>103.86603779631039</c:v>
                </c:pt>
                <c:pt idx="8">
                  <c:v>101.93122182772376</c:v>
                </c:pt>
                <c:pt idx="9">
                  <c:v>104.49973223069404</c:v>
                </c:pt>
                <c:pt idx="10">
                  <c:v>100.64291755319439</c:v>
                </c:pt>
                <c:pt idx="11">
                  <c:v>102.15406276502361</c:v>
                </c:pt>
                <c:pt idx="12">
                  <c:v>101.45783715993198</c:v>
                </c:pt>
                <c:pt idx="13">
                  <c:v>98.278968210323711</c:v>
                </c:pt>
                <c:pt idx="14">
                  <c:v>97.943513159102309</c:v>
                </c:pt>
                <c:pt idx="15">
                  <c:v>96.578810906263101</c:v>
                </c:pt>
                <c:pt idx="16">
                  <c:v>95.76015144798285</c:v>
                </c:pt>
                <c:pt idx="17">
                  <c:v>98.013161480521632</c:v>
                </c:pt>
                <c:pt idx="18">
                  <c:v>95.45295979312364</c:v>
                </c:pt>
                <c:pt idx="19">
                  <c:v>92.713434364540163</c:v>
                </c:pt>
                <c:pt idx="20">
                  <c:v>90.924826443865953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3-E041-AB0B-81A4ECC0EF38}"/>
            </c:ext>
          </c:extLst>
        </c:ser>
        <c:ser>
          <c:idx val="2"/>
          <c:order val="2"/>
          <c:tx>
            <c:v>L2 (dB) (receptor)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Frec'!$M$58:$M$78</c:f>
              <c:numCache>
                <c:formatCode>0.0</c:formatCode>
                <c:ptCount val="21"/>
                <c:pt idx="0">
                  <c:v>68.960379500626274</c:v>
                </c:pt>
                <c:pt idx="1">
                  <c:v>54.514982413269991</c:v>
                </c:pt>
                <c:pt idx="2">
                  <c:v>58.422646271196641</c:v>
                </c:pt>
                <c:pt idx="3">
                  <c:v>54.098448324912283</c:v>
                </c:pt>
                <c:pt idx="4">
                  <c:v>52.863350698814969</c:v>
                </c:pt>
                <c:pt idx="5">
                  <c:v>69.011891287539044</c:v>
                </c:pt>
                <c:pt idx="6">
                  <c:v>62.706958843205271</c:v>
                </c:pt>
                <c:pt idx="7">
                  <c:v>66.581328844527576</c:v>
                </c:pt>
                <c:pt idx="8">
                  <c:v>70.243048263523548</c:v>
                </c:pt>
                <c:pt idx="9">
                  <c:v>68.360448816906242</c:v>
                </c:pt>
                <c:pt idx="10">
                  <c:v>64.115469623230098</c:v>
                </c:pt>
                <c:pt idx="11">
                  <c:v>62.489226352114684</c:v>
                </c:pt>
                <c:pt idx="12">
                  <c:v>59.618180566268009</c:v>
                </c:pt>
                <c:pt idx="13">
                  <c:v>56.004157112074751</c:v>
                </c:pt>
                <c:pt idx="14">
                  <c:v>53.763049555995465</c:v>
                </c:pt>
                <c:pt idx="15">
                  <c:v>52.083488488670255</c:v>
                </c:pt>
                <c:pt idx="16">
                  <c:v>50.351834651200875</c:v>
                </c:pt>
                <c:pt idx="17">
                  <c:v>53.074252144983703</c:v>
                </c:pt>
                <c:pt idx="18">
                  <c:v>53.479551494950101</c:v>
                </c:pt>
                <c:pt idx="19">
                  <c:v>48.929953968147764</c:v>
                </c:pt>
                <c:pt idx="20">
                  <c:v>43.798287595789319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3-E041-AB0B-81A4ECC0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D'n2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Frec'!$R$85:$R$105</c:f>
              <c:numCache>
                <c:formatCode>0.0</c:formatCode>
                <c:ptCount val="21"/>
                <c:pt idx="0">
                  <c:v>24.314418440537327</c:v>
                </c:pt>
                <c:pt idx="1">
                  <c:v>27.07065614670838</c:v>
                </c:pt>
                <c:pt idx="2">
                  <c:v>24.946856311087874</c:v>
                </c:pt>
                <c:pt idx="3">
                  <c:v>33.645441722902142</c:v>
                </c:pt>
                <c:pt idx="4">
                  <c:v>33.086461975819098</c:v>
                </c:pt>
                <c:pt idx="5">
                  <c:v>35.044564949209686</c:v>
                </c:pt>
                <c:pt idx="6">
                  <c:v>32.783240379027148</c:v>
                </c:pt>
                <c:pt idx="7">
                  <c:v>30.501807781760437</c:v>
                </c:pt>
                <c:pt idx="8">
                  <c:v>32.401759469134809</c:v>
                </c:pt>
                <c:pt idx="9">
                  <c:v>32.84128547959704</c:v>
                </c:pt>
                <c:pt idx="10">
                  <c:v>32.879974095802019</c:v>
                </c:pt>
                <c:pt idx="11">
                  <c:v>35.015392478877224</c:v>
                </c:pt>
                <c:pt idx="12">
                  <c:v>36.263597588842515</c:v>
                </c:pt>
                <c:pt idx="13">
                  <c:v>38.613825965822613</c:v>
                </c:pt>
                <c:pt idx="14">
                  <c:v>41.288349600483578</c:v>
                </c:pt>
                <c:pt idx="15">
                  <c:v>42.123055249346642</c:v>
                </c:pt>
                <c:pt idx="16">
                  <c:v>44.281201164595274</c:v>
                </c:pt>
                <c:pt idx="17">
                  <c:v>44.850710754325597</c:v>
                </c:pt>
                <c:pt idx="18">
                  <c:v>42.90062954588133</c:v>
                </c:pt>
                <c:pt idx="19">
                  <c:v>44.34204575425909</c:v>
                </c:pt>
                <c:pt idx="20">
                  <c:v>47.13133795856043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A-1745-B428-2279918CF93F}"/>
            </c:ext>
          </c:extLst>
        </c:ser>
        <c:ser>
          <c:idx val="1"/>
          <c:order val="1"/>
          <c:tx>
            <c:v>L1 (db) (fuente)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Frec'!$N$85:$N$105</c:f>
              <c:numCache>
                <c:formatCode>0.0</c:formatCode>
                <c:ptCount val="21"/>
                <c:pt idx="0">
                  <c:v>80.551905465327579</c:v>
                </c:pt>
                <c:pt idx="1">
                  <c:v>86.374637782171604</c:v>
                </c:pt>
                <c:pt idx="2">
                  <c:v>91.522951419290379</c:v>
                </c:pt>
                <c:pt idx="3">
                  <c:v>92.220616724858928</c:v>
                </c:pt>
                <c:pt idx="4">
                  <c:v>92.402909786288362</c:v>
                </c:pt>
                <c:pt idx="5">
                  <c:v>103.10161125650069</c:v>
                </c:pt>
                <c:pt idx="6">
                  <c:v>101.33608580352261</c:v>
                </c:pt>
                <c:pt idx="7">
                  <c:v>102.58927446368163</c:v>
                </c:pt>
                <c:pt idx="8">
                  <c:v>103.74255284362113</c:v>
                </c:pt>
                <c:pt idx="9">
                  <c:v>104.16514203838075</c:v>
                </c:pt>
                <c:pt idx="10">
                  <c:v>103.10984948627465</c:v>
                </c:pt>
                <c:pt idx="11">
                  <c:v>102.88742086750771</c:v>
                </c:pt>
                <c:pt idx="12">
                  <c:v>101.56309630934631</c:v>
                </c:pt>
                <c:pt idx="13">
                  <c:v>99.771205217763281</c:v>
                </c:pt>
                <c:pt idx="14">
                  <c:v>98.64458961797439</c:v>
                </c:pt>
                <c:pt idx="15">
                  <c:v>96.731319613448719</c:v>
                </c:pt>
                <c:pt idx="16">
                  <c:v>96.770291042863391</c:v>
                </c:pt>
                <c:pt idx="17">
                  <c:v>98.401093499849011</c:v>
                </c:pt>
                <c:pt idx="18">
                  <c:v>96.186133194757687</c:v>
                </c:pt>
                <c:pt idx="19">
                  <c:v>92.352635181950475</c:v>
                </c:pt>
                <c:pt idx="20">
                  <c:v>90.950844170620456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A-1745-B428-2279918CF93F}"/>
            </c:ext>
          </c:extLst>
        </c:ser>
        <c:ser>
          <c:idx val="2"/>
          <c:order val="2"/>
          <c:tx>
            <c:v>L2 (dB) (receptor)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Frec'!$M$85:$M$105</c:f>
              <c:numCache>
                <c:formatCode>0.0</c:formatCode>
                <c:ptCount val="21"/>
                <c:pt idx="0">
                  <c:v>60.353684084422554</c:v>
                </c:pt>
                <c:pt idx="1">
                  <c:v>59.557040288110926</c:v>
                </c:pt>
                <c:pt idx="2">
                  <c:v>66.746428501190309</c:v>
                </c:pt>
                <c:pt idx="3">
                  <c:v>61.270304444135952</c:v>
                </c:pt>
                <c:pt idx="4">
                  <c:v>60.108260270945514</c:v>
                </c:pt>
                <c:pt idx="5">
                  <c:v>68.549226533992822</c:v>
                </c:pt>
                <c:pt idx="6">
                  <c:v>67.997672145997143</c:v>
                </c:pt>
                <c:pt idx="7">
                  <c:v>72.257800074908999</c:v>
                </c:pt>
                <c:pt idx="8">
                  <c:v>71.754720226068571</c:v>
                </c:pt>
                <c:pt idx="9">
                  <c:v>70.66884107121939</c:v>
                </c:pt>
                <c:pt idx="10">
                  <c:v>69.038011313280549</c:v>
                </c:pt>
                <c:pt idx="11">
                  <c:v>67.010166912467653</c:v>
                </c:pt>
                <c:pt idx="12">
                  <c:v>64.744325442005476</c:v>
                </c:pt>
                <c:pt idx="13">
                  <c:v>61.157379251940668</c:v>
                </c:pt>
                <c:pt idx="14">
                  <c:v>56.801066738992496</c:v>
                </c:pt>
                <c:pt idx="15">
                  <c:v>54.150689458495329</c:v>
                </c:pt>
                <c:pt idx="16">
                  <c:v>51.834074390703798</c:v>
                </c:pt>
                <c:pt idx="17">
                  <c:v>52.895367257959094</c:v>
                </c:pt>
                <c:pt idx="18">
                  <c:v>52.423642172713521</c:v>
                </c:pt>
                <c:pt idx="19">
                  <c:v>47.041489297610823</c:v>
                </c:pt>
                <c:pt idx="20">
                  <c:v>42.740452238964828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A-1745-B428-2279918C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 - Posición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D'n2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Frec'!$R$112:$R$132</c:f>
              <c:numCache>
                <c:formatCode>0.0</c:formatCode>
                <c:ptCount val="21"/>
                <c:pt idx="0">
                  <c:v>39.715335127254633</c:v>
                </c:pt>
                <c:pt idx="1">
                  <c:v>44.335108309972711</c:v>
                </c:pt>
                <c:pt idx="2">
                  <c:v>42.118420391767586</c:v>
                </c:pt>
                <c:pt idx="3">
                  <c:v>34.966117796077967</c:v>
                </c:pt>
                <c:pt idx="4">
                  <c:v>39.098731876965957</c:v>
                </c:pt>
                <c:pt idx="5">
                  <c:v>48.57135007750847</c:v>
                </c:pt>
                <c:pt idx="6">
                  <c:v>50.139464995074555</c:v>
                </c:pt>
                <c:pt idx="7">
                  <c:v>54.839260604442352</c:v>
                </c:pt>
                <c:pt idx="8">
                  <c:v>52.912782339938303</c:v>
                </c:pt>
                <c:pt idx="9">
                  <c:v>56.181217048181047</c:v>
                </c:pt>
                <c:pt idx="10">
                  <c:v>57.791180114417976</c:v>
                </c:pt>
                <c:pt idx="11">
                  <c:v>61.077679312768851</c:v>
                </c:pt>
                <c:pt idx="12">
                  <c:v>66.275357475001542</c:v>
                </c:pt>
                <c:pt idx="13">
                  <c:v>66.099163408775723</c:v>
                </c:pt>
                <c:pt idx="14">
                  <c:v>68.195603057954699</c:v>
                </c:pt>
                <c:pt idx="15">
                  <c:v>67.126560558823655</c:v>
                </c:pt>
                <c:pt idx="16">
                  <c:v>67.202588464044396</c:v>
                </c:pt>
                <c:pt idx="17">
                  <c:v>67.349558827908822</c:v>
                </c:pt>
                <c:pt idx="18">
                  <c:v>63.4559343813388</c:v>
                </c:pt>
                <c:pt idx="19">
                  <c:v>63.161969532113304</c:v>
                </c:pt>
                <c:pt idx="20">
                  <c:v>61.798846140234417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204D-989C-8860CABF294F}"/>
            </c:ext>
          </c:extLst>
        </c:ser>
        <c:ser>
          <c:idx val="1"/>
          <c:order val="1"/>
          <c:tx>
            <c:v>L1 (db) (fuente)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Frec'!$N$112:$N$132</c:f>
              <c:numCache>
                <c:formatCode>0.0</c:formatCode>
                <c:ptCount val="21"/>
                <c:pt idx="0">
                  <c:v>85.67453808320559</c:v>
                </c:pt>
                <c:pt idx="1">
                  <c:v>88.150243628796886</c:v>
                </c:pt>
                <c:pt idx="2">
                  <c:v>90.421889611722179</c:v>
                </c:pt>
                <c:pt idx="3">
                  <c:v>83.198144951798255</c:v>
                </c:pt>
                <c:pt idx="4">
                  <c:v>85.41417392494678</c:v>
                </c:pt>
                <c:pt idx="5">
                  <c:v>97.702944299164898</c:v>
                </c:pt>
                <c:pt idx="6">
                  <c:v>100.96368018934197</c:v>
                </c:pt>
                <c:pt idx="7">
                  <c:v>103.86477548427101</c:v>
                </c:pt>
                <c:pt idx="8">
                  <c:v>101.65837204149311</c:v>
                </c:pt>
                <c:pt idx="9">
                  <c:v>102.31292034531306</c:v>
                </c:pt>
                <c:pt idx="10">
                  <c:v>100.8536770198219</c:v>
                </c:pt>
                <c:pt idx="11">
                  <c:v>101.68628827010707</c:v>
                </c:pt>
                <c:pt idx="12">
                  <c:v>101.2398501278511</c:v>
                </c:pt>
                <c:pt idx="13">
                  <c:v>98.294781674599307</c:v>
                </c:pt>
                <c:pt idx="14">
                  <c:v>97.888247878536873</c:v>
                </c:pt>
                <c:pt idx="15">
                  <c:v>96.660895452098202</c:v>
                </c:pt>
                <c:pt idx="16">
                  <c:v>95.689980018504897</c:v>
                </c:pt>
                <c:pt idx="17">
                  <c:v>97.822066030912453</c:v>
                </c:pt>
                <c:pt idx="18">
                  <c:v>95.333765429837044</c:v>
                </c:pt>
                <c:pt idx="19">
                  <c:v>92.449647038723185</c:v>
                </c:pt>
                <c:pt idx="20">
                  <c:v>90.926972410941517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4-204D-989C-8860CABF294F}"/>
            </c:ext>
          </c:extLst>
        </c:ser>
        <c:ser>
          <c:idx val="2"/>
          <c:order val="2"/>
          <c:tx>
            <c:v>L2 (dB) (receptor)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Frec'!$M$112:$M$132</c:f>
              <c:numCache>
                <c:formatCode>0.0</c:formatCode>
                <c:ptCount val="21"/>
                <c:pt idx="0">
                  <c:v>50.075400015583256</c:v>
                </c:pt>
                <c:pt idx="1">
                  <c:v>44.068193971471878</c:v>
                </c:pt>
                <c:pt idx="2">
                  <c:v>48.4738026129424</c:v>
                </c:pt>
                <c:pt idx="3">
                  <c:v>50.927156597899454</c:v>
                </c:pt>
                <c:pt idx="4">
                  <c:v>47.107254508457075</c:v>
                </c:pt>
                <c:pt idx="5">
                  <c:v>49.623774448358247</c:v>
                </c:pt>
                <c:pt idx="6">
                  <c:v>50.269041915769101</c:v>
                </c:pt>
                <c:pt idx="7">
                  <c:v>49.195848272816463</c:v>
                </c:pt>
                <c:pt idx="8">
                  <c:v>49.15951655313706</c:v>
                </c:pt>
                <c:pt idx="9">
                  <c:v>45.476687809567693</c:v>
                </c:pt>
                <c:pt idx="10">
                  <c:v>41.870632828211839</c:v>
                </c:pt>
                <c:pt idx="11">
                  <c:v>39.746747481175383</c:v>
                </c:pt>
                <c:pt idx="12">
                  <c:v>34.409319374351249</c:v>
                </c:pt>
                <c:pt idx="13">
                  <c:v>32.195618265823576</c:v>
                </c:pt>
                <c:pt idx="14">
                  <c:v>29.137471542083865</c:v>
                </c:pt>
                <c:pt idx="15">
                  <c:v>29.076759987667806</c:v>
                </c:pt>
                <c:pt idx="16">
                  <c:v>27.832376066896177</c:v>
                </c:pt>
                <c:pt idx="17">
                  <c:v>29.817491715439303</c:v>
                </c:pt>
                <c:pt idx="18">
                  <c:v>31.015969572335404</c:v>
                </c:pt>
                <c:pt idx="19">
                  <c:v>28.318577376529323</c:v>
                </c:pt>
                <c:pt idx="20">
                  <c:v>28.0490722976119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4-204D-989C-8860CABF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Frecuancia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0.10411733966325075"/>
          <c:h val="0.1217387483384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2888435448762587"/>
          <c:h val="0.78841387206931512"/>
        </c:manualLayout>
      </c:layout>
      <c:scatterChart>
        <c:scatterStyle val="lineMarker"/>
        <c:varyColors val="0"/>
        <c:ser>
          <c:idx val="2"/>
          <c:order val="0"/>
          <c:tx>
            <c:v>L1 hab sup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Frec'!$H$5:$H$25</c:f>
              <c:numCache>
                <c:formatCode>0.0</c:formatCode>
                <c:ptCount val="21"/>
                <c:pt idx="0">
                  <c:v>25.200795838349979</c:v>
                </c:pt>
                <c:pt idx="1">
                  <c:v>37.678395830980264</c:v>
                </c:pt>
                <c:pt idx="2">
                  <c:v>31.200881098850534</c:v>
                </c:pt>
                <c:pt idx="3">
                  <c:v>35.199794264902579</c:v>
                </c:pt>
                <c:pt idx="4">
                  <c:v>32.633207931938273</c:v>
                </c:pt>
                <c:pt idx="5">
                  <c:v>36.492517484172531</c:v>
                </c:pt>
                <c:pt idx="6">
                  <c:v>40.595516030889371</c:v>
                </c:pt>
                <c:pt idx="7">
                  <c:v>44.664967848034117</c:v>
                </c:pt>
                <c:pt idx="8">
                  <c:v>41.118595054109917</c:v>
                </c:pt>
                <c:pt idx="9">
                  <c:v>40.820932857828694</c:v>
                </c:pt>
                <c:pt idx="10">
                  <c:v>42.541698650489622</c:v>
                </c:pt>
                <c:pt idx="11">
                  <c:v>47.265236135044368</c:v>
                </c:pt>
                <c:pt idx="12">
                  <c:v>50.227908414805519</c:v>
                </c:pt>
                <c:pt idx="13">
                  <c:v>52.378241936338526</c:v>
                </c:pt>
                <c:pt idx="14">
                  <c:v>50.760382130664588</c:v>
                </c:pt>
                <c:pt idx="15">
                  <c:v>51.890913327831477</c:v>
                </c:pt>
                <c:pt idx="16">
                  <c:v>51.214360820570683</c:v>
                </c:pt>
                <c:pt idx="17">
                  <c:v>46.628162258463888</c:v>
                </c:pt>
                <c:pt idx="18">
                  <c:v>42.404705309151787</c:v>
                </c:pt>
                <c:pt idx="19">
                  <c:v>43.579631039541503</c:v>
                </c:pt>
                <c:pt idx="20">
                  <c:v>48.64059499547006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254F-BFA1-19E3A7F24147}"/>
            </c:ext>
          </c:extLst>
        </c:ser>
        <c:ser>
          <c:idx val="0"/>
          <c:order val="1"/>
          <c:tx>
            <c:v>L2 hab sup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Frec'!$R$5:$R$25</c:f>
              <c:numCache>
                <c:formatCode>0.0</c:formatCode>
                <c:ptCount val="21"/>
                <c:pt idx="0">
                  <c:v>28.328391155282088</c:v>
                </c:pt>
                <c:pt idx="1">
                  <c:v>43.433076271830657</c:v>
                </c:pt>
                <c:pt idx="2">
                  <c:v>44.035932322292481</c:v>
                </c:pt>
                <c:pt idx="3">
                  <c:v>44.383819252317181</c:v>
                </c:pt>
                <c:pt idx="4">
                  <c:v>33.997731621931855</c:v>
                </c:pt>
                <c:pt idx="5">
                  <c:v>38.7274888635949</c:v>
                </c:pt>
                <c:pt idx="6">
                  <c:v>38.356675979562283</c:v>
                </c:pt>
                <c:pt idx="7">
                  <c:v>40.67342233098362</c:v>
                </c:pt>
                <c:pt idx="8">
                  <c:v>39.303733731461435</c:v>
                </c:pt>
                <c:pt idx="9">
                  <c:v>41.22671899595732</c:v>
                </c:pt>
                <c:pt idx="10">
                  <c:v>42.697234256077444</c:v>
                </c:pt>
                <c:pt idx="11">
                  <c:v>48.089875784494701</c:v>
                </c:pt>
                <c:pt idx="12">
                  <c:v>49.47119592587925</c:v>
                </c:pt>
                <c:pt idx="13">
                  <c:v>51.075368119574904</c:v>
                </c:pt>
                <c:pt idx="14">
                  <c:v>49.618343680816778</c:v>
                </c:pt>
                <c:pt idx="15">
                  <c:v>50.434317104033802</c:v>
                </c:pt>
                <c:pt idx="16">
                  <c:v>49.666199383787593</c:v>
                </c:pt>
                <c:pt idx="17">
                  <c:v>44.991619436750305</c:v>
                </c:pt>
                <c:pt idx="18">
                  <c:v>40.609525099021475</c:v>
                </c:pt>
                <c:pt idx="19">
                  <c:v>42.535711524702556</c:v>
                </c:pt>
                <c:pt idx="20">
                  <c:v>48.006119233881819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254F-BFA1-19E3A7F24147}"/>
            </c:ext>
          </c:extLst>
        </c:ser>
        <c:ser>
          <c:idx val="1"/>
          <c:order val="2"/>
          <c:tx>
            <c:v>L1 escaleras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Frec'!$H$31:$H$51</c:f>
              <c:numCache>
                <c:formatCode>0.0</c:formatCode>
                <c:ptCount val="21"/>
                <c:pt idx="0">
                  <c:v>13.072295537469916</c:v>
                </c:pt>
                <c:pt idx="1">
                  <c:v>9.935583298234242</c:v>
                </c:pt>
                <c:pt idx="2">
                  <c:v>8.7116922393759957</c:v>
                </c:pt>
                <c:pt idx="3">
                  <c:v>20.04919563799481</c:v>
                </c:pt>
                <c:pt idx="4">
                  <c:v>16.320839182676902</c:v>
                </c:pt>
                <c:pt idx="5">
                  <c:v>16.624435176013161</c:v>
                </c:pt>
                <c:pt idx="6">
                  <c:v>16.616465597271688</c:v>
                </c:pt>
                <c:pt idx="7">
                  <c:v>18.662322965162947</c:v>
                </c:pt>
                <c:pt idx="8">
                  <c:v>17.89290898843841</c:v>
                </c:pt>
                <c:pt idx="9">
                  <c:v>25.992050879110582</c:v>
                </c:pt>
                <c:pt idx="10">
                  <c:v>25.05303566509297</c:v>
                </c:pt>
                <c:pt idx="11">
                  <c:v>25.147401289638591</c:v>
                </c:pt>
                <c:pt idx="12">
                  <c:v>27.80777641093022</c:v>
                </c:pt>
                <c:pt idx="13">
                  <c:v>28.022033626288547</c:v>
                </c:pt>
                <c:pt idx="14">
                  <c:v>26.83839565539218</c:v>
                </c:pt>
                <c:pt idx="15">
                  <c:v>27.196575672941787</c:v>
                </c:pt>
                <c:pt idx="16">
                  <c:v>23.648595639022563</c:v>
                </c:pt>
                <c:pt idx="17">
                  <c:v>19.563242877710653</c:v>
                </c:pt>
                <c:pt idx="18">
                  <c:v>21.249868070572244</c:v>
                </c:pt>
                <c:pt idx="19">
                  <c:v>23.771435353478481</c:v>
                </c:pt>
                <c:pt idx="20">
                  <c:v>24.508081153689435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254F-BFA1-19E3A7F24147}"/>
            </c:ext>
          </c:extLst>
        </c:ser>
        <c:ser>
          <c:idx val="3"/>
          <c:order val="3"/>
          <c:tx>
            <c:v>L2 escaleras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Frec'!$R$31:$R$51</c:f>
              <c:numCache>
                <c:formatCode>0.0</c:formatCode>
                <c:ptCount val="21"/>
                <c:pt idx="0">
                  <c:v>21.506907111020713</c:v>
                </c:pt>
                <c:pt idx="1">
                  <c:v>32.517054577303959</c:v>
                </c:pt>
                <c:pt idx="2">
                  <c:v>17.187800656621281</c:v>
                </c:pt>
                <c:pt idx="3">
                  <c:v>23.998454268398245</c:v>
                </c:pt>
                <c:pt idx="4">
                  <c:v>23.955603404422344</c:v>
                </c:pt>
                <c:pt idx="5">
                  <c:v>19.227486015762079</c:v>
                </c:pt>
                <c:pt idx="6">
                  <c:v>13.374115368729152</c:v>
                </c:pt>
                <c:pt idx="7">
                  <c:v>10.677727586726252</c:v>
                </c:pt>
                <c:pt idx="8">
                  <c:v>17.543689401553454</c:v>
                </c:pt>
                <c:pt idx="9">
                  <c:v>20.399050573042533</c:v>
                </c:pt>
                <c:pt idx="10">
                  <c:v>22.138761811915323</c:v>
                </c:pt>
                <c:pt idx="11">
                  <c:v>24.085824675311041</c:v>
                </c:pt>
                <c:pt idx="12">
                  <c:v>24.214778286408706</c:v>
                </c:pt>
                <c:pt idx="13">
                  <c:v>23.403918645905449</c:v>
                </c:pt>
                <c:pt idx="14">
                  <c:v>23.508541798709647</c:v>
                </c:pt>
                <c:pt idx="15">
                  <c:v>23.79173908271461</c:v>
                </c:pt>
                <c:pt idx="16">
                  <c:v>22.426499587782249</c:v>
                </c:pt>
                <c:pt idx="17">
                  <c:v>20.523963965155676</c:v>
                </c:pt>
                <c:pt idx="18">
                  <c:v>17.840259542595444</c:v>
                </c:pt>
                <c:pt idx="19">
                  <c:v>19.272511832467345</c:v>
                </c:pt>
                <c:pt idx="20">
                  <c:v>21.758217398604874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E-254F-BFA1-19E3A7F24147}"/>
            </c:ext>
          </c:extLst>
        </c:ser>
        <c:ser>
          <c:idx val="4"/>
          <c:order val="4"/>
          <c:tx>
            <c:v>L1 cocina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Frec'!$H$58:$H$78</c:f>
              <c:numCache>
                <c:formatCode>0.0</c:formatCode>
                <c:ptCount val="21"/>
                <c:pt idx="0">
                  <c:v>24.680896633178467</c:v>
                </c:pt>
                <c:pt idx="1">
                  <c:v>24.391811100247381</c:v>
                </c:pt>
                <c:pt idx="2">
                  <c:v>23.873186117445787</c:v>
                </c:pt>
                <c:pt idx="3">
                  <c:v>24.46580034920515</c:v>
                </c:pt>
                <c:pt idx="4">
                  <c:v>20.99191847061287</c:v>
                </c:pt>
                <c:pt idx="5">
                  <c:v>23.06966510619166</c:v>
                </c:pt>
                <c:pt idx="6">
                  <c:v>27.930295513250602</c:v>
                </c:pt>
                <c:pt idx="7">
                  <c:v>29.354130617478123</c:v>
                </c:pt>
                <c:pt idx="8">
                  <c:v>28.162019957312854</c:v>
                </c:pt>
                <c:pt idx="9">
                  <c:v>27.694660816078528</c:v>
                </c:pt>
                <c:pt idx="10">
                  <c:v>30.821427773054062</c:v>
                </c:pt>
                <c:pt idx="11">
                  <c:v>28.677666386807299</c:v>
                </c:pt>
                <c:pt idx="12">
                  <c:v>31.944725903478247</c:v>
                </c:pt>
                <c:pt idx="13">
                  <c:v>33.966279938143558</c:v>
                </c:pt>
                <c:pt idx="14">
                  <c:v>34.538865168202946</c:v>
                </c:pt>
                <c:pt idx="15">
                  <c:v>35.490539325101423</c:v>
                </c:pt>
                <c:pt idx="16">
                  <c:v>36.981523852113774</c:v>
                </c:pt>
                <c:pt idx="17">
                  <c:v>36.087260225264458</c:v>
                </c:pt>
                <c:pt idx="18">
                  <c:v>33.92054963751044</c:v>
                </c:pt>
                <c:pt idx="19">
                  <c:v>34.433956064644228</c:v>
                </c:pt>
                <c:pt idx="20">
                  <c:v>37.691206337757649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E-254F-BFA1-19E3A7F24147}"/>
            </c:ext>
          </c:extLst>
        </c:ser>
        <c:ser>
          <c:idx val="5"/>
          <c:order val="5"/>
          <c:tx>
            <c:v>L2 cocina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Frec'!$R$58:$R$78</c:f>
              <c:numCache>
                <c:formatCode>0.0</c:formatCode>
                <c:ptCount val="21"/>
                <c:pt idx="0">
                  <c:v>20.723412121435519</c:v>
                </c:pt>
                <c:pt idx="1">
                  <c:v>34.038384578755561</c:v>
                </c:pt>
                <c:pt idx="2">
                  <c:v>32.524936447747741</c:v>
                </c:pt>
                <c:pt idx="3">
                  <c:v>34.06295428423644</c:v>
                </c:pt>
                <c:pt idx="4">
                  <c:v>35.129119501337527</c:v>
                </c:pt>
                <c:pt idx="5">
                  <c:v>29.219998934133098</c:v>
                </c:pt>
                <c:pt idx="6">
                  <c:v>38.903759267218732</c:v>
                </c:pt>
                <c:pt idx="7">
                  <c:v>37.455042344770625</c:v>
                </c:pt>
                <c:pt idx="8">
                  <c:v>32.102100415782466</c:v>
                </c:pt>
                <c:pt idx="9">
                  <c:v>35.484267926223474</c:v>
                </c:pt>
                <c:pt idx="10">
                  <c:v>35.33558385277221</c:v>
                </c:pt>
                <c:pt idx="11">
                  <c:v>38.802974936746089</c:v>
                </c:pt>
                <c:pt idx="12">
                  <c:v>41.284483315165659</c:v>
                </c:pt>
                <c:pt idx="13">
                  <c:v>42.274811098248961</c:v>
                </c:pt>
                <c:pt idx="14">
                  <c:v>43.625290324608528</c:v>
                </c:pt>
                <c:pt idx="15">
                  <c:v>44.037747511986097</c:v>
                </c:pt>
                <c:pt idx="16">
                  <c:v>44.753301309217655</c:v>
                </c:pt>
                <c:pt idx="17">
                  <c:v>44.283893847973609</c:v>
                </c:pt>
                <c:pt idx="18">
                  <c:v>41.111546822010702</c:v>
                </c:pt>
                <c:pt idx="19">
                  <c:v>42.814380266311836</c:v>
                </c:pt>
                <c:pt idx="20">
                  <c:v>46.047484874981436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E-254F-BFA1-19E3A7F24147}"/>
            </c:ext>
          </c:extLst>
        </c:ser>
        <c:ser>
          <c:idx val="6"/>
          <c:order val="6"/>
          <c:tx>
            <c:v>L1 salón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Frec'!$H$85:$H$105</c:f>
              <c:numCache>
                <c:formatCode>0.0</c:formatCode>
                <c:ptCount val="21"/>
                <c:pt idx="0">
                  <c:v>27.270729259620158</c:v>
                </c:pt>
                <c:pt idx="1">
                  <c:v>33.750034797497122</c:v>
                </c:pt>
                <c:pt idx="2">
                  <c:v>27.703921966696445</c:v>
                </c:pt>
                <c:pt idx="3">
                  <c:v>31.32969671392252</c:v>
                </c:pt>
                <c:pt idx="4">
                  <c:v>24.527051317814323</c:v>
                </c:pt>
                <c:pt idx="5">
                  <c:v>28.310658758829984</c:v>
                </c:pt>
                <c:pt idx="6">
                  <c:v>34.720800013708512</c:v>
                </c:pt>
                <c:pt idx="7">
                  <c:v>35.206110034469113</c:v>
                </c:pt>
                <c:pt idx="8">
                  <c:v>29.454954991450879</c:v>
                </c:pt>
                <c:pt idx="9">
                  <c:v>34.536763013161568</c:v>
                </c:pt>
                <c:pt idx="10">
                  <c:v>32.361220121934458</c:v>
                </c:pt>
                <c:pt idx="11">
                  <c:v>33.811949352757587</c:v>
                </c:pt>
                <c:pt idx="12">
                  <c:v>35.992027810796458</c:v>
                </c:pt>
                <c:pt idx="13">
                  <c:v>38.947009915005331</c:v>
                </c:pt>
                <c:pt idx="14">
                  <c:v>41.01243317761638</c:v>
                </c:pt>
                <c:pt idx="15">
                  <c:v>41.948956878735963</c:v>
                </c:pt>
                <c:pt idx="16">
                  <c:v>43.909079966454954</c:v>
                </c:pt>
                <c:pt idx="17">
                  <c:v>42.492587516973138</c:v>
                </c:pt>
                <c:pt idx="18">
                  <c:v>39.030940851723003</c:v>
                </c:pt>
                <c:pt idx="19">
                  <c:v>42.997001015700377</c:v>
                </c:pt>
                <c:pt idx="20">
                  <c:v>45.914931267031527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E-254F-BFA1-19E3A7F24147}"/>
            </c:ext>
          </c:extLst>
        </c:ser>
        <c:ser>
          <c:idx val="7"/>
          <c:order val="7"/>
          <c:tx>
            <c:v>L2 salón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Frec'!$R$85:$R$105</c:f>
              <c:numCache>
                <c:formatCode>0.0</c:formatCode>
                <c:ptCount val="21"/>
                <c:pt idx="0">
                  <c:v>24.314418440537327</c:v>
                </c:pt>
                <c:pt idx="1">
                  <c:v>27.07065614670838</c:v>
                </c:pt>
                <c:pt idx="2">
                  <c:v>24.946856311087874</c:v>
                </c:pt>
                <c:pt idx="3">
                  <c:v>33.645441722902142</c:v>
                </c:pt>
                <c:pt idx="4">
                  <c:v>33.086461975819098</c:v>
                </c:pt>
                <c:pt idx="5">
                  <c:v>35.044564949209686</c:v>
                </c:pt>
                <c:pt idx="6">
                  <c:v>32.783240379027148</c:v>
                </c:pt>
                <c:pt idx="7">
                  <c:v>30.501807781760437</c:v>
                </c:pt>
                <c:pt idx="8">
                  <c:v>32.401759469134809</c:v>
                </c:pt>
                <c:pt idx="9">
                  <c:v>32.84128547959704</c:v>
                </c:pt>
                <c:pt idx="10">
                  <c:v>32.879974095802019</c:v>
                </c:pt>
                <c:pt idx="11">
                  <c:v>35.015392478877224</c:v>
                </c:pt>
                <c:pt idx="12">
                  <c:v>36.263597588842515</c:v>
                </c:pt>
                <c:pt idx="13">
                  <c:v>38.613825965822613</c:v>
                </c:pt>
                <c:pt idx="14">
                  <c:v>41.288349600483578</c:v>
                </c:pt>
                <c:pt idx="15">
                  <c:v>42.123055249346642</c:v>
                </c:pt>
                <c:pt idx="16">
                  <c:v>44.281201164595274</c:v>
                </c:pt>
                <c:pt idx="17">
                  <c:v>44.850710754325597</c:v>
                </c:pt>
                <c:pt idx="18">
                  <c:v>42.90062954588133</c:v>
                </c:pt>
                <c:pt idx="19">
                  <c:v>44.34204575425909</c:v>
                </c:pt>
                <c:pt idx="20">
                  <c:v>47.13133795856043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5E-254F-BFA1-19E3A7F24147}"/>
            </c:ext>
          </c:extLst>
        </c:ser>
        <c:ser>
          <c:idx val="8"/>
          <c:order val="8"/>
          <c:tx>
            <c:v>L1 hab inf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Frec'!$H$112:$H$132</c:f>
              <c:numCache>
                <c:formatCode>0.0</c:formatCode>
                <c:ptCount val="21"/>
                <c:pt idx="0">
                  <c:v>38.696253928680505</c:v>
                </c:pt>
                <c:pt idx="1">
                  <c:v>53.017053183500913</c:v>
                </c:pt>
                <c:pt idx="2">
                  <c:v>44.750539325409626</c:v>
                </c:pt>
                <c:pt idx="3">
                  <c:v>47.771524719960468</c:v>
                </c:pt>
                <c:pt idx="4">
                  <c:v>44.877730425631036</c:v>
                </c:pt>
                <c:pt idx="5">
                  <c:v>48.709061316775966</c:v>
                </c:pt>
                <c:pt idx="6">
                  <c:v>54.755442794669591</c:v>
                </c:pt>
                <c:pt idx="7">
                  <c:v>56.702815270183009</c:v>
                </c:pt>
                <c:pt idx="8">
                  <c:v>56.044516940885295</c:v>
                </c:pt>
                <c:pt idx="9">
                  <c:v>57.76752109640011</c:v>
                </c:pt>
                <c:pt idx="10">
                  <c:v>58.649013090526608</c:v>
                </c:pt>
                <c:pt idx="11">
                  <c:v>62.820692577959612</c:v>
                </c:pt>
                <c:pt idx="12">
                  <c:v>66.75562981057557</c:v>
                </c:pt>
                <c:pt idx="13">
                  <c:v>66.462264246143832</c:v>
                </c:pt>
                <c:pt idx="14">
                  <c:v>67.894497075015522</c:v>
                </c:pt>
                <c:pt idx="15">
                  <c:v>68.291180058285605</c:v>
                </c:pt>
                <c:pt idx="16">
                  <c:v>68.909622021899125</c:v>
                </c:pt>
                <c:pt idx="17">
                  <c:v>67.298750667892008</c:v>
                </c:pt>
                <c:pt idx="18">
                  <c:v>63.090568777408997</c:v>
                </c:pt>
                <c:pt idx="19">
                  <c:v>63.189269055177903</c:v>
                </c:pt>
                <c:pt idx="20">
                  <c:v>63.141084471385255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5E-254F-BFA1-19E3A7F24147}"/>
            </c:ext>
          </c:extLst>
        </c:ser>
        <c:ser>
          <c:idx val="9"/>
          <c:order val="9"/>
          <c:tx>
            <c:v>L2 hab inf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Frec'!$R$112:$R$132</c:f>
              <c:numCache>
                <c:formatCode>0.0</c:formatCode>
                <c:ptCount val="21"/>
                <c:pt idx="0">
                  <c:v>39.715335127254633</c:v>
                </c:pt>
                <c:pt idx="1">
                  <c:v>44.335108309972711</c:v>
                </c:pt>
                <c:pt idx="2">
                  <c:v>42.118420391767586</c:v>
                </c:pt>
                <c:pt idx="3">
                  <c:v>34.966117796077967</c:v>
                </c:pt>
                <c:pt idx="4">
                  <c:v>39.098731876965957</c:v>
                </c:pt>
                <c:pt idx="5">
                  <c:v>48.57135007750847</c:v>
                </c:pt>
                <c:pt idx="6">
                  <c:v>50.139464995074555</c:v>
                </c:pt>
                <c:pt idx="7">
                  <c:v>54.839260604442352</c:v>
                </c:pt>
                <c:pt idx="8">
                  <c:v>52.912782339938303</c:v>
                </c:pt>
                <c:pt idx="9">
                  <c:v>56.181217048181047</c:v>
                </c:pt>
                <c:pt idx="10">
                  <c:v>57.791180114417976</c:v>
                </c:pt>
                <c:pt idx="11">
                  <c:v>61.077679312768851</c:v>
                </c:pt>
                <c:pt idx="12">
                  <c:v>66.275357475001542</c:v>
                </c:pt>
                <c:pt idx="13">
                  <c:v>66.099163408775723</c:v>
                </c:pt>
                <c:pt idx="14">
                  <c:v>68.195603057954699</c:v>
                </c:pt>
                <c:pt idx="15">
                  <c:v>67.126560558823655</c:v>
                </c:pt>
                <c:pt idx="16">
                  <c:v>67.202588464044396</c:v>
                </c:pt>
                <c:pt idx="17">
                  <c:v>67.349558827908822</c:v>
                </c:pt>
                <c:pt idx="18">
                  <c:v>63.4559343813388</c:v>
                </c:pt>
                <c:pt idx="19">
                  <c:v>63.161969532113304</c:v>
                </c:pt>
                <c:pt idx="20">
                  <c:v>61.798846140234417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5E-254F-BFA1-19E3A7F2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53148103501613"/>
          <c:y val="0.32408678371678518"/>
          <c:w val="8.4104363144974839E-2"/>
          <c:h val="0.41093347101953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DnT1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Frec'!$H$31:$H$51</c:f>
              <c:numCache>
                <c:formatCode>0.0</c:formatCode>
                <c:ptCount val="21"/>
                <c:pt idx="0">
                  <c:v>13.072295537469916</c:v>
                </c:pt>
                <c:pt idx="1">
                  <c:v>9.935583298234242</c:v>
                </c:pt>
                <c:pt idx="2">
                  <c:v>8.7116922393759957</c:v>
                </c:pt>
                <c:pt idx="3">
                  <c:v>20.04919563799481</c:v>
                </c:pt>
                <c:pt idx="4">
                  <c:v>16.320839182676902</c:v>
                </c:pt>
                <c:pt idx="5">
                  <c:v>16.624435176013161</c:v>
                </c:pt>
                <c:pt idx="6">
                  <c:v>16.616465597271688</c:v>
                </c:pt>
                <c:pt idx="7">
                  <c:v>18.662322965162947</c:v>
                </c:pt>
                <c:pt idx="8">
                  <c:v>17.89290898843841</c:v>
                </c:pt>
                <c:pt idx="9">
                  <c:v>25.992050879110582</c:v>
                </c:pt>
                <c:pt idx="10">
                  <c:v>25.05303566509297</c:v>
                </c:pt>
                <c:pt idx="11">
                  <c:v>25.147401289638591</c:v>
                </c:pt>
                <c:pt idx="12">
                  <c:v>27.80777641093022</c:v>
                </c:pt>
                <c:pt idx="13">
                  <c:v>28.022033626288547</c:v>
                </c:pt>
                <c:pt idx="14">
                  <c:v>26.83839565539218</c:v>
                </c:pt>
                <c:pt idx="15">
                  <c:v>27.196575672941787</c:v>
                </c:pt>
                <c:pt idx="16">
                  <c:v>23.648595639022563</c:v>
                </c:pt>
                <c:pt idx="17">
                  <c:v>19.563242877710653</c:v>
                </c:pt>
                <c:pt idx="18">
                  <c:v>21.249868070572244</c:v>
                </c:pt>
                <c:pt idx="19">
                  <c:v>23.771435353478481</c:v>
                </c:pt>
                <c:pt idx="20">
                  <c:v>24.508081153689435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C-4C4B-9032-A5AE3DD7A3C7}"/>
            </c:ext>
          </c:extLst>
        </c:ser>
        <c:ser>
          <c:idx val="1"/>
          <c:order val="1"/>
          <c:tx>
            <c:v>R'1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Frec'!$J$31:$J$51</c:f>
              <c:numCache>
                <c:formatCode>0.0</c:formatCode>
                <c:ptCount val="21"/>
                <c:pt idx="0">
                  <c:v>11.488670616517417</c:v>
                </c:pt>
                <c:pt idx="1">
                  <c:v>8.3519583772817452</c:v>
                </c:pt>
                <c:pt idx="2">
                  <c:v>7.1280673184234988</c:v>
                </c:pt>
                <c:pt idx="3">
                  <c:v>18.465570717042315</c:v>
                </c:pt>
                <c:pt idx="4">
                  <c:v>14.737214261724407</c:v>
                </c:pt>
                <c:pt idx="5">
                  <c:v>15.040810255060666</c:v>
                </c:pt>
                <c:pt idx="6">
                  <c:v>15.032840676319189</c:v>
                </c:pt>
                <c:pt idx="7">
                  <c:v>17.078698044210451</c:v>
                </c:pt>
                <c:pt idx="8">
                  <c:v>16.309284067485915</c:v>
                </c:pt>
                <c:pt idx="9">
                  <c:v>24.408425958158087</c:v>
                </c:pt>
                <c:pt idx="10">
                  <c:v>23.469410744140475</c:v>
                </c:pt>
                <c:pt idx="11">
                  <c:v>23.563776368686092</c:v>
                </c:pt>
                <c:pt idx="12">
                  <c:v>26.224151489977721</c:v>
                </c:pt>
                <c:pt idx="13">
                  <c:v>26.438408705336052</c:v>
                </c:pt>
                <c:pt idx="14">
                  <c:v>25.254770734439681</c:v>
                </c:pt>
                <c:pt idx="15">
                  <c:v>25.612950751989292</c:v>
                </c:pt>
                <c:pt idx="16">
                  <c:v>22.064970718070068</c:v>
                </c:pt>
                <c:pt idx="17">
                  <c:v>17.979617956758158</c:v>
                </c:pt>
                <c:pt idx="18">
                  <c:v>19.666243149619746</c:v>
                </c:pt>
                <c:pt idx="19">
                  <c:v>22.187810432525982</c:v>
                </c:pt>
                <c:pt idx="20">
                  <c:v>22.92445623273694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C4B-9032-A5AE3DD7A3C7}"/>
            </c:ext>
          </c:extLst>
        </c:ser>
        <c:ser>
          <c:idx val="2"/>
          <c:order val="2"/>
          <c:tx>
            <c:v>DnT2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Frec'!$R$31:$R$51</c:f>
              <c:numCache>
                <c:formatCode>0.0</c:formatCode>
                <c:ptCount val="21"/>
                <c:pt idx="0">
                  <c:v>21.506907111020713</c:v>
                </c:pt>
                <c:pt idx="1">
                  <c:v>32.517054577303959</c:v>
                </c:pt>
                <c:pt idx="2">
                  <c:v>17.187800656621281</c:v>
                </c:pt>
                <c:pt idx="3">
                  <c:v>23.998454268398245</c:v>
                </c:pt>
                <c:pt idx="4">
                  <c:v>23.955603404422344</c:v>
                </c:pt>
                <c:pt idx="5">
                  <c:v>19.227486015762079</c:v>
                </c:pt>
                <c:pt idx="6">
                  <c:v>13.374115368729152</c:v>
                </c:pt>
                <c:pt idx="7">
                  <c:v>10.677727586726252</c:v>
                </c:pt>
                <c:pt idx="8">
                  <c:v>17.543689401553454</c:v>
                </c:pt>
                <c:pt idx="9">
                  <c:v>20.399050573042533</c:v>
                </c:pt>
                <c:pt idx="10">
                  <c:v>22.138761811915323</c:v>
                </c:pt>
                <c:pt idx="11">
                  <c:v>24.085824675311041</c:v>
                </c:pt>
                <c:pt idx="12">
                  <c:v>24.214778286408706</c:v>
                </c:pt>
                <c:pt idx="13">
                  <c:v>23.403918645905449</c:v>
                </c:pt>
                <c:pt idx="14">
                  <c:v>23.508541798709647</c:v>
                </c:pt>
                <c:pt idx="15">
                  <c:v>23.79173908271461</c:v>
                </c:pt>
                <c:pt idx="16">
                  <c:v>22.426499587782249</c:v>
                </c:pt>
                <c:pt idx="17">
                  <c:v>20.523963965155676</c:v>
                </c:pt>
                <c:pt idx="18">
                  <c:v>17.840259542595444</c:v>
                </c:pt>
                <c:pt idx="19">
                  <c:v>19.272511832467345</c:v>
                </c:pt>
                <c:pt idx="20">
                  <c:v>21.758217398604874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C-4C4B-9032-A5AE3DD7A3C7}"/>
            </c:ext>
          </c:extLst>
        </c:ser>
        <c:ser>
          <c:idx val="3"/>
          <c:order val="3"/>
          <c:tx>
            <c:v>R'2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Frec'!$T$31:$T$51</c:f>
              <c:numCache>
                <c:formatCode>0.0</c:formatCode>
                <c:ptCount val="21"/>
                <c:pt idx="0">
                  <c:v>19.923282190068214</c:v>
                </c:pt>
                <c:pt idx="1">
                  <c:v>30.933429656351464</c:v>
                </c:pt>
                <c:pt idx="2">
                  <c:v>15.604175735668784</c:v>
                </c:pt>
                <c:pt idx="3">
                  <c:v>22.41482934744575</c:v>
                </c:pt>
                <c:pt idx="4">
                  <c:v>22.371978483469849</c:v>
                </c:pt>
                <c:pt idx="5">
                  <c:v>17.643861094809584</c:v>
                </c:pt>
                <c:pt idx="6">
                  <c:v>11.790490447776655</c:v>
                </c:pt>
                <c:pt idx="7">
                  <c:v>9.0941026657737556</c:v>
                </c:pt>
                <c:pt idx="8">
                  <c:v>15.960064480600959</c:v>
                </c:pt>
                <c:pt idx="9">
                  <c:v>18.815425652090038</c:v>
                </c:pt>
                <c:pt idx="10">
                  <c:v>20.555136890962828</c:v>
                </c:pt>
                <c:pt idx="11">
                  <c:v>22.502199754358543</c:v>
                </c:pt>
                <c:pt idx="12">
                  <c:v>22.631153365456207</c:v>
                </c:pt>
                <c:pt idx="13">
                  <c:v>21.820293724952954</c:v>
                </c:pt>
                <c:pt idx="14">
                  <c:v>21.924916877757148</c:v>
                </c:pt>
                <c:pt idx="15">
                  <c:v>22.208114161762115</c:v>
                </c:pt>
                <c:pt idx="16">
                  <c:v>20.842874666829754</c:v>
                </c:pt>
                <c:pt idx="17">
                  <c:v>18.940339044203181</c:v>
                </c:pt>
                <c:pt idx="18">
                  <c:v>16.256634621642945</c:v>
                </c:pt>
                <c:pt idx="19">
                  <c:v>17.688886911514846</c:v>
                </c:pt>
                <c:pt idx="20">
                  <c:v>20.174592477652379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C-4C4B-9032-A5AE3DD7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4100126651236"/>
          <c:y val="0.60374780331886968"/>
          <c:w val="5.5736234429508646E-2"/>
          <c:h val="0.166621884617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Escaleras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Frec'!$G$32:$G$52</c:f>
              <c:numCache>
                <c:formatCode>0.00</c:formatCode>
                <c:ptCount val="21"/>
                <c:pt idx="0">
                  <c:v>70.39108672899539</c:v>
                </c:pt>
                <c:pt idx="1">
                  <c:v>63.485987478489172</c:v>
                </c:pt>
                <c:pt idx="2">
                  <c:v>77.672800440652537</c:v>
                </c:pt>
                <c:pt idx="3">
                  <c:v>76.392002109215824</c:v>
                </c:pt>
                <c:pt idx="4">
                  <c:v>77.123796601378672</c:v>
                </c:pt>
                <c:pt idx="5">
                  <c:v>79.97998269661727</c:v>
                </c:pt>
                <c:pt idx="6">
                  <c:v>85.345071867915664</c:v>
                </c:pt>
                <c:pt idx="7">
                  <c:v>81.906055776212497</c:v>
                </c:pt>
                <c:pt idx="8">
                  <c:v>83.82522208894251</c:v>
                </c:pt>
                <c:pt idx="9">
                  <c:v>78.828243896652509</c:v>
                </c:pt>
                <c:pt idx="10">
                  <c:v>76.178244381458853</c:v>
                </c:pt>
                <c:pt idx="11">
                  <c:v>72.916478411882053</c:v>
                </c:pt>
                <c:pt idx="12">
                  <c:v>73.362840797837663</c:v>
                </c:pt>
                <c:pt idx="13">
                  <c:v>71.398210860043079</c:v>
                </c:pt>
                <c:pt idx="14">
                  <c:v>70.593796715154028</c:v>
                </c:pt>
                <c:pt idx="15">
                  <c:v>68.913077502430198</c:v>
                </c:pt>
                <c:pt idx="16">
                  <c:v>69.598085198520636</c:v>
                </c:pt>
                <c:pt idx="17">
                  <c:v>72.60540962744679</c:v>
                </c:pt>
                <c:pt idx="18">
                  <c:v>73.181693701485742</c:v>
                </c:pt>
                <c:pt idx="19">
                  <c:v>68.51699459191525</c:v>
                </c:pt>
                <c:pt idx="20">
                  <c:v>64.15712064422523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1D42-A836-FDB3C8EEBA8A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Frec'!$H$32:$H$52</c:f>
              <c:numCache>
                <c:formatCode>0.00</c:formatCode>
                <c:ptCount val="21"/>
                <c:pt idx="0">
                  <c:v>64.764941186091434</c:v>
                </c:pt>
                <c:pt idx="1">
                  <c:v>73.007383903877269</c:v>
                </c:pt>
                <c:pt idx="2">
                  <c:v>87.977681417863295</c:v>
                </c:pt>
                <c:pt idx="3">
                  <c:v>80.952213384278679</c:v>
                </c:pt>
                <c:pt idx="4">
                  <c:v>80.268332798121847</c:v>
                </c:pt>
                <c:pt idx="5">
                  <c:v>78.615469418506663</c:v>
                </c:pt>
                <c:pt idx="6">
                  <c:v>77.21757397244933</c:v>
                </c:pt>
                <c:pt idx="7">
                  <c:v>77.906141699983081</c:v>
                </c:pt>
                <c:pt idx="8">
                  <c:v>82.807474783674124</c:v>
                </c:pt>
                <c:pt idx="9">
                  <c:v>77.616670487364061</c:v>
                </c:pt>
                <c:pt idx="10">
                  <c:v>74.967125776675132</c:v>
                </c:pt>
                <c:pt idx="11">
                  <c:v>73.914128242949602</c:v>
                </c:pt>
                <c:pt idx="12">
                  <c:v>72.836248110513296</c:v>
                </c:pt>
                <c:pt idx="13">
                  <c:v>72.547933180405749</c:v>
                </c:pt>
                <c:pt idx="14">
                  <c:v>70.63135176172274</c:v>
                </c:pt>
                <c:pt idx="15">
                  <c:v>69.936030393070837</c:v>
                </c:pt>
                <c:pt idx="16">
                  <c:v>69.145805289654461</c:v>
                </c:pt>
                <c:pt idx="17">
                  <c:v>73.482333707722901</c:v>
                </c:pt>
                <c:pt idx="18">
                  <c:v>72.90505953752411</c:v>
                </c:pt>
                <c:pt idx="19">
                  <c:v>68.342934575574148</c:v>
                </c:pt>
                <c:pt idx="20">
                  <c:v>65.412590677638661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3-1D42-A836-FDB3C8EEBA8A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Frec'!$I$32:$I$52</c:f>
              <c:numCache>
                <c:formatCode>0.00</c:formatCode>
                <c:ptCount val="21"/>
                <c:pt idx="0">
                  <c:v>74.159870448214136</c:v>
                </c:pt>
                <c:pt idx="1">
                  <c:v>75.655858737213734</c:v>
                </c:pt>
                <c:pt idx="2">
                  <c:v>85.680130803883358</c:v>
                </c:pt>
                <c:pt idx="3">
                  <c:v>74.351525010611851</c:v>
                </c:pt>
                <c:pt idx="4">
                  <c:v>72.638684729716644</c:v>
                </c:pt>
                <c:pt idx="5">
                  <c:v>76.235560136994792</c:v>
                </c:pt>
                <c:pt idx="6">
                  <c:v>81.063177064572145</c:v>
                </c:pt>
                <c:pt idx="7">
                  <c:v>77.340262892955536</c:v>
                </c:pt>
                <c:pt idx="8">
                  <c:v>77.354698273072756</c:v>
                </c:pt>
                <c:pt idx="9">
                  <c:v>75.890918006932324</c:v>
                </c:pt>
                <c:pt idx="10">
                  <c:v>75.658110200530189</c:v>
                </c:pt>
                <c:pt idx="11">
                  <c:v>74.41388149455922</c:v>
                </c:pt>
                <c:pt idx="12">
                  <c:v>72.79275531079395</c:v>
                </c:pt>
                <c:pt idx="13">
                  <c:v>70.019335311027007</c:v>
                </c:pt>
                <c:pt idx="14">
                  <c:v>68.546001190383535</c:v>
                </c:pt>
                <c:pt idx="15">
                  <c:v>67.845776039102319</c:v>
                </c:pt>
                <c:pt idx="16">
                  <c:v>68.521355064187034</c:v>
                </c:pt>
                <c:pt idx="17">
                  <c:v>72.446233952675186</c:v>
                </c:pt>
                <c:pt idx="18">
                  <c:v>72.54752230356975</c:v>
                </c:pt>
                <c:pt idx="19">
                  <c:v>67.500428108731498</c:v>
                </c:pt>
                <c:pt idx="20">
                  <c:v>63.187919811146251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13-1D42-A836-FDB3C8EEBA8A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Frec'!$J$32:$J$52</c:f>
              <c:numCache>
                <c:formatCode>0.00</c:formatCode>
                <c:ptCount val="21"/>
                <c:pt idx="0">
                  <c:v>75.28042299097234</c:v>
                </c:pt>
                <c:pt idx="1">
                  <c:v>65.049472075520143</c:v>
                </c:pt>
                <c:pt idx="2">
                  <c:v>86.466065363450483</c:v>
                </c:pt>
                <c:pt idx="3">
                  <c:v>78.666765364733607</c:v>
                </c:pt>
                <c:pt idx="4">
                  <c:v>79.750114657662138</c:v>
                </c:pt>
                <c:pt idx="5">
                  <c:v>79.878743626854643</c:v>
                </c:pt>
                <c:pt idx="6">
                  <c:v>84.1359903234424</c:v>
                </c:pt>
                <c:pt idx="7">
                  <c:v>82.88055621493946</c:v>
                </c:pt>
                <c:pt idx="8">
                  <c:v>83.065765482006654</c:v>
                </c:pt>
                <c:pt idx="9">
                  <c:v>77.199660893642545</c:v>
                </c:pt>
                <c:pt idx="10">
                  <c:v>77.409443501270175</c:v>
                </c:pt>
                <c:pt idx="11">
                  <c:v>75.452490878827646</c:v>
                </c:pt>
                <c:pt idx="12">
                  <c:v>76.066355791958898</c:v>
                </c:pt>
                <c:pt idx="13">
                  <c:v>74.155673503875732</c:v>
                </c:pt>
                <c:pt idx="14">
                  <c:v>72.982823357437596</c:v>
                </c:pt>
                <c:pt idx="15">
                  <c:v>71.962110685579702</c:v>
                </c:pt>
                <c:pt idx="16">
                  <c:v>72.699332056623518</c:v>
                </c:pt>
                <c:pt idx="17">
                  <c:v>77.665007533449113</c:v>
                </c:pt>
                <c:pt idx="18">
                  <c:v>77.595446637182519</c:v>
                </c:pt>
                <c:pt idx="19">
                  <c:v>73.040409369902179</c:v>
                </c:pt>
                <c:pt idx="20">
                  <c:v>67.937781839659721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3-1D42-A836-FDB3C8EEBA8A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Frec'!$K$32:$K$52</c:f>
              <c:numCache>
                <c:formatCode>0.00</c:formatCode>
                <c:ptCount val="21"/>
                <c:pt idx="0">
                  <c:v>72.580992649035821</c:v>
                </c:pt>
                <c:pt idx="1">
                  <c:v>71.905257505111976</c:v>
                </c:pt>
                <c:pt idx="2">
                  <c:v>77.840966341663915</c:v>
                </c:pt>
                <c:pt idx="3">
                  <c:v>79.538320718644727</c:v>
                </c:pt>
                <c:pt idx="4">
                  <c:v>81.348044994595327</c:v>
                </c:pt>
                <c:pt idx="5">
                  <c:v>80.031559252827577</c:v>
                </c:pt>
                <c:pt idx="6">
                  <c:v>85.638231802163958</c:v>
                </c:pt>
                <c:pt idx="7">
                  <c:v>81.41171588684989</c:v>
                </c:pt>
                <c:pt idx="8">
                  <c:v>81.287866833484742</c:v>
                </c:pt>
                <c:pt idx="9">
                  <c:v>78.533883814474905</c:v>
                </c:pt>
                <c:pt idx="10">
                  <c:v>76.456645845037414</c:v>
                </c:pt>
                <c:pt idx="11">
                  <c:v>76.177490482543035</c:v>
                </c:pt>
                <c:pt idx="12">
                  <c:v>75.030072151949852</c:v>
                </c:pt>
                <c:pt idx="13">
                  <c:v>73.366796592797485</c:v>
                </c:pt>
                <c:pt idx="14">
                  <c:v>70.402580332135628</c:v>
                </c:pt>
                <c:pt idx="15">
                  <c:v>69.289933257829745</c:v>
                </c:pt>
                <c:pt idx="16">
                  <c:v>69.642013103102215</c:v>
                </c:pt>
                <c:pt idx="17">
                  <c:v>73.97921477817691</c:v>
                </c:pt>
                <c:pt idx="18">
                  <c:v>73.862869808664996</c:v>
                </c:pt>
                <c:pt idx="19">
                  <c:v>69.365799793966644</c:v>
                </c:pt>
                <c:pt idx="20">
                  <c:v>65.427338142820446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3-1D42-A836-FDB3C8EEBA8A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Frec'!$E$32:$E$52</c:f>
              <c:numCache>
                <c:formatCode>0.00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Frec'!$C$32:$C$52</c:f>
              <c:numCache>
                <c:formatCode>0.00</c:formatCode>
                <c:ptCount val="21"/>
                <c:pt idx="0">
                  <c:v>28.254371115550903</c:v>
                </c:pt>
                <c:pt idx="1">
                  <c:v>20.958510761675626</c:v>
                </c:pt>
                <c:pt idx="2">
                  <c:v>20.581794400146041</c:v>
                </c:pt>
                <c:pt idx="3">
                  <c:v>21.080927309782609</c:v>
                </c:pt>
                <c:pt idx="4">
                  <c:v>21.410328520668877</c:v>
                </c:pt>
                <c:pt idx="5">
                  <c:v>20.707785774544242</c:v>
                </c:pt>
                <c:pt idx="6">
                  <c:v>20.671427330533088</c:v>
                </c:pt>
                <c:pt idx="7">
                  <c:v>20.990640870614904</c:v>
                </c:pt>
                <c:pt idx="8">
                  <c:v>20.802814847605241</c:v>
                </c:pt>
                <c:pt idx="9">
                  <c:v>21.34892895832154</c:v>
                </c:pt>
                <c:pt idx="10">
                  <c:v>21.626016778070568</c:v>
                </c:pt>
                <c:pt idx="11">
                  <c:v>22.256093413357572</c:v>
                </c:pt>
                <c:pt idx="12">
                  <c:v>22.648568699325342</c:v>
                </c:pt>
                <c:pt idx="13">
                  <c:v>23.166978794595469</c:v>
                </c:pt>
                <c:pt idx="14">
                  <c:v>23.928737329400104</c:v>
                </c:pt>
                <c:pt idx="15">
                  <c:v>24.551068043363266</c:v>
                </c:pt>
                <c:pt idx="16">
                  <c:v>25.51529498491886</c:v>
                </c:pt>
                <c:pt idx="17">
                  <c:v>26.36517041662465</c:v>
                </c:pt>
                <c:pt idx="18">
                  <c:v>26.968118914083583</c:v>
                </c:pt>
                <c:pt idx="19">
                  <c:v>28.001040560035889</c:v>
                </c:pt>
                <c:pt idx="20">
                  <c:v>28.912661262180496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13-1D42-A836-FDB3C8EE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DnT1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Frec'!$H$58:$H$78</c:f>
              <c:numCache>
                <c:formatCode>0.0</c:formatCode>
                <c:ptCount val="21"/>
                <c:pt idx="0">
                  <c:v>24.680896633178467</c:v>
                </c:pt>
                <c:pt idx="1">
                  <c:v>24.391811100247381</c:v>
                </c:pt>
                <c:pt idx="2">
                  <c:v>23.873186117445787</c:v>
                </c:pt>
                <c:pt idx="3">
                  <c:v>24.46580034920515</c:v>
                </c:pt>
                <c:pt idx="4">
                  <c:v>20.99191847061287</c:v>
                </c:pt>
                <c:pt idx="5">
                  <c:v>23.06966510619166</c:v>
                </c:pt>
                <c:pt idx="6">
                  <c:v>27.930295513250602</c:v>
                </c:pt>
                <c:pt idx="7">
                  <c:v>29.354130617478123</c:v>
                </c:pt>
                <c:pt idx="8">
                  <c:v>28.162019957312854</c:v>
                </c:pt>
                <c:pt idx="9">
                  <c:v>27.694660816078528</c:v>
                </c:pt>
                <c:pt idx="10">
                  <c:v>30.821427773054062</c:v>
                </c:pt>
                <c:pt idx="11">
                  <c:v>28.677666386807299</c:v>
                </c:pt>
                <c:pt idx="12">
                  <c:v>31.944725903478247</c:v>
                </c:pt>
                <c:pt idx="13">
                  <c:v>33.966279938143558</c:v>
                </c:pt>
                <c:pt idx="14">
                  <c:v>34.538865168202946</c:v>
                </c:pt>
                <c:pt idx="15">
                  <c:v>35.490539325101423</c:v>
                </c:pt>
                <c:pt idx="16">
                  <c:v>36.981523852113774</c:v>
                </c:pt>
                <c:pt idx="17">
                  <c:v>36.087260225264458</c:v>
                </c:pt>
                <c:pt idx="18">
                  <c:v>33.92054963751044</c:v>
                </c:pt>
                <c:pt idx="19">
                  <c:v>34.433956064644228</c:v>
                </c:pt>
                <c:pt idx="20">
                  <c:v>37.691206337757649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5-844C-AC63-D56F06F97C5A}"/>
            </c:ext>
          </c:extLst>
        </c:ser>
        <c:ser>
          <c:idx val="1"/>
          <c:order val="1"/>
          <c:tx>
            <c:v>R'1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Frec'!$J$58:$J$78</c:f>
              <c:numCache>
                <c:formatCode>0.0</c:formatCode>
                <c:ptCount val="21"/>
                <c:pt idx="0">
                  <c:v>26.448763500351792</c:v>
                </c:pt>
                <c:pt idx="1">
                  <c:v>26.159677967420706</c:v>
                </c:pt>
                <c:pt idx="2">
                  <c:v>25.641052984619112</c:v>
                </c:pt>
                <c:pt idx="3">
                  <c:v>26.233667216378475</c:v>
                </c:pt>
                <c:pt idx="4">
                  <c:v>22.759785337786195</c:v>
                </c:pt>
                <c:pt idx="5">
                  <c:v>24.837531973364985</c:v>
                </c:pt>
                <c:pt idx="6">
                  <c:v>29.698162380423927</c:v>
                </c:pt>
                <c:pt idx="7">
                  <c:v>31.121997484651448</c:v>
                </c:pt>
                <c:pt idx="8">
                  <c:v>29.929886824486179</c:v>
                </c:pt>
                <c:pt idx="9">
                  <c:v>29.462527683251853</c:v>
                </c:pt>
                <c:pt idx="10">
                  <c:v>32.589294640227386</c:v>
                </c:pt>
                <c:pt idx="11">
                  <c:v>30.445533253980624</c:v>
                </c:pt>
                <c:pt idx="12">
                  <c:v>33.712592770651568</c:v>
                </c:pt>
                <c:pt idx="13">
                  <c:v>35.734146805316882</c:v>
                </c:pt>
                <c:pt idx="14">
                  <c:v>36.306732035376271</c:v>
                </c:pt>
                <c:pt idx="15">
                  <c:v>37.258406192274741</c:v>
                </c:pt>
                <c:pt idx="16">
                  <c:v>38.749390719287099</c:v>
                </c:pt>
                <c:pt idx="17">
                  <c:v>37.855127092437783</c:v>
                </c:pt>
                <c:pt idx="18">
                  <c:v>35.688416504683765</c:v>
                </c:pt>
                <c:pt idx="19">
                  <c:v>36.201822931817553</c:v>
                </c:pt>
                <c:pt idx="20">
                  <c:v>39.459073204930974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5-844C-AC63-D56F06F97C5A}"/>
            </c:ext>
          </c:extLst>
        </c:ser>
        <c:ser>
          <c:idx val="2"/>
          <c:order val="2"/>
          <c:tx>
            <c:v>DnT2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Frec'!$R$58:$R$78</c:f>
              <c:numCache>
                <c:formatCode>0.0</c:formatCode>
                <c:ptCount val="21"/>
                <c:pt idx="0">
                  <c:v>20.723412121435519</c:v>
                </c:pt>
                <c:pt idx="1">
                  <c:v>34.038384578755561</c:v>
                </c:pt>
                <c:pt idx="2">
                  <c:v>32.524936447747741</c:v>
                </c:pt>
                <c:pt idx="3">
                  <c:v>34.06295428423644</c:v>
                </c:pt>
                <c:pt idx="4">
                  <c:v>35.129119501337527</c:v>
                </c:pt>
                <c:pt idx="5">
                  <c:v>29.219998934133098</c:v>
                </c:pt>
                <c:pt idx="6">
                  <c:v>38.903759267218732</c:v>
                </c:pt>
                <c:pt idx="7">
                  <c:v>37.455042344770625</c:v>
                </c:pt>
                <c:pt idx="8">
                  <c:v>32.102100415782466</c:v>
                </c:pt>
                <c:pt idx="9">
                  <c:v>35.484267926223474</c:v>
                </c:pt>
                <c:pt idx="10">
                  <c:v>35.33558385277221</c:v>
                </c:pt>
                <c:pt idx="11">
                  <c:v>38.802974936746089</c:v>
                </c:pt>
                <c:pt idx="12">
                  <c:v>41.284483315165659</c:v>
                </c:pt>
                <c:pt idx="13">
                  <c:v>42.274811098248961</c:v>
                </c:pt>
                <c:pt idx="14">
                  <c:v>43.625290324608528</c:v>
                </c:pt>
                <c:pt idx="15">
                  <c:v>44.037747511986097</c:v>
                </c:pt>
                <c:pt idx="16">
                  <c:v>44.753301309217655</c:v>
                </c:pt>
                <c:pt idx="17">
                  <c:v>44.283893847973609</c:v>
                </c:pt>
                <c:pt idx="18">
                  <c:v>41.111546822010702</c:v>
                </c:pt>
                <c:pt idx="19">
                  <c:v>42.814380266311836</c:v>
                </c:pt>
                <c:pt idx="20">
                  <c:v>46.047484874981436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5-844C-AC63-D56F06F97C5A}"/>
            </c:ext>
          </c:extLst>
        </c:ser>
        <c:ser>
          <c:idx val="3"/>
          <c:order val="3"/>
          <c:tx>
            <c:v>R'2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Frec'!$T$58:$T$78</c:f>
              <c:numCache>
                <c:formatCode>0.0</c:formatCode>
                <c:ptCount val="21"/>
                <c:pt idx="0">
                  <c:v>22.491278988608844</c:v>
                </c:pt>
                <c:pt idx="1">
                  <c:v>35.806251445928886</c:v>
                </c:pt>
                <c:pt idx="2">
                  <c:v>34.292803314921059</c:v>
                </c:pt>
                <c:pt idx="3">
                  <c:v>35.830821151409765</c:v>
                </c:pt>
                <c:pt idx="4">
                  <c:v>36.896986368510852</c:v>
                </c:pt>
                <c:pt idx="5">
                  <c:v>30.987865801306423</c:v>
                </c:pt>
                <c:pt idx="6">
                  <c:v>40.671626134392056</c:v>
                </c:pt>
                <c:pt idx="7">
                  <c:v>39.222909211943943</c:v>
                </c:pt>
                <c:pt idx="8">
                  <c:v>33.869967282955791</c:v>
                </c:pt>
                <c:pt idx="9">
                  <c:v>37.252134793396799</c:v>
                </c:pt>
                <c:pt idx="10">
                  <c:v>37.103450719945535</c:v>
                </c:pt>
                <c:pt idx="11">
                  <c:v>40.570841803919414</c:v>
                </c:pt>
                <c:pt idx="12">
                  <c:v>43.052350182338984</c:v>
                </c:pt>
                <c:pt idx="13">
                  <c:v>44.042677965422286</c:v>
                </c:pt>
                <c:pt idx="14">
                  <c:v>45.393157191781853</c:v>
                </c:pt>
                <c:pt idx="15">
                  <c:v>45.805614379159415</c:v>
                </c:pt>
                <c:pt idx="16">
                  <c:v>46.521168176390979</c:v>
                </c:pt>
                <c:pt idx="17">
                  <c:v>46.051760715146933</c:v>
                </c:pt>
                <c:pt idx="18">
                  <c:v>42.879413689184027</c:v>
                </c:pt>
                <c:pt idx="19">
                  <c:v>44.582247133485161</c:v>
                </c:pt>
                <c:pt idx="20">
                  <c:v>47.81535174215476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5-844C-AC63-D56F06F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4100126651236"/>
          <c:y val="0.60374780331886968"/>
          <c:w val="5.5736234429508646E-2"/>
          <c:h val="0.166621884617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DnT1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Frec'!$H$85:$H$105</c:f>
              <c:numCache>
                <c:formatCode>0.0</c:formatCode>
                <c:ptCount val="21"/>
                <c:pt idx="0">
                  <c:v>27.270729259620158</c:v>
                </c:pt>
                <c:pt idx="1">
                  <c:v>33.750034797497122</c:v>
                </c:pt>
                <c:pt idx="2">
                  <c:v>27.703921966696445</c:v>
                </c:pt>
                <c:pt idx="3">
                  <c:v>31.32969671392252</c:v>
                </c:pt>
                <c:pt idx="4">
                  <c:v>24.527051317814323</c:v>
                </c:pt>
                <c:pt idx="5">
                  <c:v>28.310658758829984</c:v>
                </c:pt>
                <c:pt idx="6">
                  <c:v>34.720800013708512</c:v>
                </c:pt>
                <c:pt idx="7">
                  <c:v>35.206110034469113</c:v>
                </c:pt>
                <c:pt idx="8">
                  <c:v>29.454954991450879</c:v>
                </c:pt>
                <c:pt idx="9">
                  <c:v>34.536763013161568</c:v>
                </c:pt>
                <c:pt idx="10">
                  <c:v>32.361220121934458</c:v>
                </c:pt>
                <c:pt idx="11">
                  <c:v>33.811949352757587</c:v>
                </c:pt>
                <c:pt idx="12">
                  <c:v>35.992027810796458</c:v>
                </c:pt>
                <c:pt idx="13">
                  <c:v>38.947009915005331</c:v>
                </c:pt>
                <c:pt idx="14">
                  <c:v>41.01243317761638</c:v>
                </c:pt>
                <c:pt idx="15">
                  <c:v>41.948956878735963</c:v>
                </c:pt>
                <c:pt idx="16">
                  <c:v>43.909079966454954</c:v>
                </c:pt>
                <c:pt idx="17">
                  <c:v>42.492587516973138</c:v>
                </c:pt>
                <c:pt idx="18">
                  <c:v>39.030940851723003</c:v>
                </c:pt>
                <c:pt idx="19">
                  <c:v>42.997001015700377</c:v>
                </c:pt>
                <c:pt idx="20">
                  <c:v>45.914931267031527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4-094A-9A7F-EBD2E580E306}"/>
            </c:ext>
          </c:extLst>
        </c:ser>
        <c:ser>
          <c:idx val="1"/>
          <c:order val="1"/>
          <c:tx>
            <c:v>R'1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Frec'!$J$85:$J$105</c:f>
              <c:numCache>
                <c:formatCode>0.0</c:formatCode>
                <c:ptCount val="21"/>
                <c:pt idx="0">
                  <c:v>29.038596126793482</c:v>
                </c:pt>
                <c:pt idx="1">
                  <c:v>35.517901664670447</c:v>
                </c:pt>
                <c:pt idx="2">
                  <c:v>29.47178883386977</c:v>
                </c:pt>
                <c:pt idx="3">
                  <c:v>33.097563581095848</c:v>
                </c:pt>
                <c:pt idx="4">
                  <c:v>26.294918184987647</c:v>
                </c:pt>
                <c:pt idx="5">
                  <c:v>30.078525626003309</c:v>
                </c:pt>
                <c:pt idx="6">
                  <c:v>36.488666880881837</c:v>
                </c:pt>
                <c:pt idx="7">
                  <c:v>36.97397690164243</c:v>
                </c:pt>
                <c:pt idx="8">
                  <c:v>31.222821858624204</c:v>
                </c:pt>
                <c:pt idx="9">
                  <c:v>36.304629880334893</c:v>
                </c:pt>
                <c:pt idx="10">
                  <c:v>34.129086989107783</c:v>
                </c:pt>
                <c:pt idx="11">
                  <c:v>35.579816219930912</c:v>
                </c:pt>
                <c:pt idx="12">
                  <c:v>37.759894677969783</c:v>
                </c:pt>
                <c:pt idx="13">
                  <c:v>40.714876782178656</c:v>
                </c:pt>
                <c:pt idx="14">
                  <c:v>42.780300044789705</c:v>
                </c:pt>
                <c:pt idx="15">
                  <c:v>43.716823745909281</c:v>
                </c:pt>
                <c:pt idx="16">
                  <c:v>45.676946833628278</c:v>
                </c:pt>
                <c:pt idx="17">
                  <c:v>44.260454384146463</c:v>
                </c:pt>
                <c:pt idx="18">
                  <c:v>40.798807718896327</c:v>
                </c:pt>
                <c:pt idx="19">
                  <c:v>44.764867882873702</c:v>
                </c:pt>
                <c:pt idx="20">
                  <c:v>47.682798134204852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4-094A-9A7F-EBD2E580E306}"/>
            </c:ext>
          </c:extLst>
        </c:ser>
        <c:ser>
          <c:idx val="2"/>
          <c:order val="2"/>
          <c:tx>
            <c:v>DnT2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Frec'!$R$85:$R$105</c:f>
              <c:numCache>
                <c:formatCode>0.0</c:formatCode>
                <c:ptCount val="21"/>
                <c:pt idx="0">
                  <c:v>24.314418440537327</c:v>
                </c:pt>
                <c:pt idx="1">
                  <c:v>27.07065614670838</c:v>
                </c:pt>
                <c:pt idx="2">
                  <c:v>24.946856311087874</c:v>
                </c:pt>
                <c:pt idx="3">
                  <c:v>33.645441722902142</c:v>
                </c:pt>
                <c:pt idx="4">
                  <c:v>33.086461975819098</c:v>
                </c:pt>
                <c:pt idx="5">
                  <c:v>35.044564949209686</c:v>
                </c:pt>
                <c:pt idx="6">
                  <c:v>32.783240379027148</c:v>
                </c:pt>
                <c:pt idx="7">
                  <c:v>30.501807781760437</c:v>
                </c:pt>
                <c:pt idx="8">
                  <c:v>32.401759469134809</c:v>
                </c:pt>
                <c:pt idx="9">
                  <c:v>32.84128547959704</c:v>
                </c:pt>
                <c:pt idx="10">
                  <c:v>32.879974095802019</c:v>
                </c:pt>
                <c:pt idx="11">
                  <c:v>35.015392478877224</c:v>
                </c:pt>
                <c:pt idx="12">
                  <c:v>36.263597588842515</c:v>
                </c:pt>
                <c:pt idx="13">
                  <c:v>38.613825965822613</c:v>
                </c:pt>
                <c:pt idx="14">
                  <c:v>41.288349600483578</c:v>
                </c:pt>
                <c:pt idx="15">
                  <c:v>42.123055249346642</c:v>
                </c:pt>
                <c:pt idx="16">
                  <c:v>44.281201164595274</c:v>
                </c:pt>
                <c:pt idx="17">
                  <c:v>44.850710754325597</c:v>
                </c:pt>
                <c:pt idx="18">
                  <c:v>42.90062954588133</c:v>
                </c:pt>
                <c:pt idx="19">
                  <c:v>44.34204575425909</c:v>
                </c:pt>
                <c:pt idx="20">
                  <c:v>47.13133795856043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4-094A-9A7F-EBD2E580E306}"/>
            </c:ext>
          </c:extLst>
        </c:ser>
        <c:ser>
          <c:idx val="3"/>
          <c:order val="3"/>
          <c:tx>
            <c:v>R'2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Frec'!$T$85:$T$105</c:f>
              <c:numCache>
                <c:formatCode>0.0</c:formatCode>
                <c:ptCount val="21"/>
                <c:pt idx="0">
                  <c:v>26.082285307710652</c:v>
                </c:pt>
                <c:pt idx="1">
                  <c:v>28.838523013881705</c:v>
                </c:pt>
                <c:pt idx="2">
                  <c:v>26.714723178261199</c:v>
                </c:pt>
                <c:pt idx="3">
                  <c:v>35.413308590075466</c:v>
                </c:pt>
                <c:pt idx="4">
                  <c:v>34.854328842992423</c:v>
                </c:pt>
                <c:pt idx="5">
                  <c:v>36.812431816383011</c:v>
                </c:pt>
                <c:pt idx="6">
                  <c:v>34.551107246200473</c:v>
                </c:pt>
                <c:pt idx="7">
                  <c:v>32.269674648933758</c:v>
                </c:pt>
                <c:pt idx="8">
                  <c:v>34.169626336308134</c:v>
                </c:pt>
                <c:pt idx="9">
                  <c:v>34.609152346770365</c:v>
                </c:pt>
                <c:pt idx="10">
                  <c:v>34.647840962975344</c:v>
                </c:pt>
                <c:pt idx="11">
                  <c:v>36.783259346050549</c:v>
                </c:pt>
                <c:pt idx="12">
                  <c:v>38.03146445601584</c:v>
                </c:pt>
                <c:pt idx="13">
                  <c:v>40.381692832995938</c:v>
                </c:pt>
                <c:pt idx="14">
                  <c:v>43.056216467656903</c:v>
                </c:pt>
                <c:pt idx="15">
                  <c:v>43.89092211651996</c:v>
                </c:pt>
                <c:pt idx="16">
                  <c:v>46.049068031768599</c:v>
                </c:pt>
                <c:pt idx="17">
                  <c:v>46.618577621498922</c:v>
                </c:pt>
                <c:pt idx="18">
                  <c:v>44.668496413054655</c:v>
                </c:pt>
                <c:pt idx="19">
                  <c:v>46.109912621432414</c:v>
                </c:pt>
                <c:pt idx="20">
                  <c:v>48.899204825733754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4-094A-9A7F-EBD2E580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4100126651236"/>
          <c:y val="0.60374780331886968"/>
          <c:w val="5.5736234429508646E-2"/>
          <c:h val="0.166621884617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Habitación Inferior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DnT1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Frec'!$H$112:$H$132</c:f>
              <c:numCache>
                <c:formatCode>0.0</c:formatCode>
                <c:ptCount val="21"/>
                <c:pt idx="0">
                  <c:v>38.696253928680505</c:v>
                </c:pt>
                <c:pt idx="1">
                  <c:v>53.017053183500913</c:v>
                </c:pt>
                <c:pt idx="2">
                  <c:v>44.750539325409626</c:v>
                </c:pt>
                <c:pt idx="3">
                  <c:v>47.771524719960468</c:v>
                </c:pt>
                <c:pt idx="4">
                  <c:v>44.877730425631036</c:v>
                </c:pt>
                <c:pt idx="5">
                  <c:v>48.709061316775966</c:v>
                </c:pt>
                <c:pt idx="6">
                  <c:v>54.755442794669591</c:v>
                </c:pt>
                <c:pt idx="7">
                  <c:v>56.702815270183009</c:v>
                </c:pt>
                <c:pt idx="8">
                  <c:v>56.044516940885295</c:v>
                </c:pt>
                <c:pt idx="9">
                  <c:v>57.76752109640011</c:v>
                </c:pt>
                <c:pt idx="10">
                  <c:v>58.649013090526608</c:v>
                </c:pt>
                <c:pt idx="11">
                  <c:v>62.820692577959612</c:v>
                </c:pt>
                <c:pt idx="12">
                  <c:v>66.75562981057557</c:v>
                </c:pt>
                <c:pt idx="13">
                  <c:v>66.462264246143832</c:v>
                </c:pt>
                <c:pt idx="14">
                  <c:v>67.894497075015522</c:v>
                </c:pt>
                <c:pt idx="15">
                  <c:v>68.291180058285605</c:v>
                </c:pt>
                <c:pt idx="16">
                  <c:v>68.909622021899125</c:v>
                </c:pt>
                <c:pt idx="17">
                  <c:v>67.298750667892008</c:v>
                </c:pt>
                <c:pt idx="18">
                  <c:v>63.090568777408997</c:v>
                </c:pt>
                <c:pt idx="19">
                  <c:v>63.189269055177903</c:v>
                </c:pt>
                <c:pt idx="20">
                  <c:v>63.141084471385255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A-8E47-8CCD-588094C4E142}"/>
            </c:ext>
          </c:extLst>
        </c:ser>
        <c:ser>
          <c:idx val="1"/>
          <c:order val="1"/>
          <c:tx>
            <c:v>R'1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Frec'!$J$112:$J$132</c:f>
              <c:numCache>
                <c:formatCode>0.0</c:formatCode>
                <c:ptCount val="21"/>
                <c:pt idx="0">
                  <c:v>39.665354058761068</c:v>
                </c:pt>
                <c:pt idx="1">
                  <c:v>53.986153313581475</c:v>
                </c:pt>
                <c:pt idx="2">
                  <c:v>45.719639455490189</c:v>
                </c:pt>
                <c:pt idx="3">
                  <c:v>48.74062485004103</c:v>
                </c:pt>
                <c:pt idx="4">
                  <c:v>45.846830555711598</c:v>
                </c:pt>
                <c:pt idx="5">
                  <c:v>49.678161446856528</c:v>
                </c:pt>
                <c:pt idx="6">
                  <c:v>55.724542924750153</c:v>
                </c:pt>
                <c:pt idx="7">
                  <c:v>57.671915400263572</c:v>
                </c:pt>
                <c:pt idx="8">
                  <c:v>57.013617070965857</c:v>
                </c:pt>
                <c:pt idx="9">
                  <c:v>58.736621226480672</c:v>
                </c:pt>
                <c:pt idx="10">
                  <c:v>59.618113220607171</c:v>
                </c:pt>
                <c:pt idx="11">
                  <c:v>63.789792708040181</c:v>
                </c:pt>
                <c:pt idx="12">
                  <c:v>67.724729940656132</c:v>
                </c:pt>
                <c:pt idx="13">
                  <c:v>67.431364376224394</c:v>
                </c:pt>
                <c:pt idx="14">
                  <c:v>68.863597205096085</c:v>
                </c:pt>
                <c:pt idx="15">
                  <c:v>69.260280188366167</c:v>
                </c:pt>
                <c:pt idx="16">
                  <c:v>69.878722151979687</c:v>
                </c:pt>
                <c:pt idx="17">
                  <c:v>68.267850797972571</c:v>
                </c:pt>
                <c:pt idx="18">
                  <c:v>64.059668907489566</c:v>
                </c:pt>
                <c:pt idx="19">
                  <c:v>64.158369185258465</c:v>
                </c:pt>
                <c:pt idx="20">
                  <c:v>64.110184601465818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A-8E47-8CCD-588094C4E142}"/>
            </c:ext>
          </c:extLst>
        </c:ser>
        <c:ser>
          <c:idx val="2"/>
          <c:order val="2"/>
          <c:tx>
            <c:v>DnT2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Frec'!$R$112:$R$132</c:f>
              <c:numCache>
                <c:formatCode>0.0</c:formatCode>
                <c:ptCount val="21"/>
                <c:pt idx="0">
                  <c:v>39.715335127254633</c:v>
                </c:pt>
                <c:pt idx="1">
                  <c:v>44.335108309972711</c:v>
                </c:pt>
                <c:pt idx="2">
                  <c:v>42.118420391767586</c:v>
                </c:pt>
                <c:pt idx="3">
                  <c:v>34.966117796077967</c:v>
                </c:pt>
                <c:pt idx="4">
                  <c:v>39.098731876965957</c:v>
                </c:pt>
                <c:pt idx="5">
                  <c:v>48.57135007750847</c:v>
                </c:pt>
                <c:pt idx="6">
                  <c:v>50.139464995074555</c:v>
                </c:pt>
                <c:pt idx="7">
                  <c:v>54.839260604442352</c:v>
                </c:pt>
                <c:pt idx="8">
                  <c:v>52.912782339938303</c:v>
                </c:pt>
                <c:pt idx="9">
                  <c:v>56.181217048181047</c:v>
                </c:pt>
                <c:pt idx="10">
                  <c:v>57.791180114417976</c:v>
                </c:pt>
                <c:pt idx="11">
                  <c:v>61.077679312768851</c:v>
                </c:pt>
                <c:pt idx="12">
                  <c:v>66.275357475001542</c:v>
                </c:pt>
                <c:pt idx="13">
                  <c:v>66.099163408775723</c:v>
                </c:pt>
                <c:pt idx="14">
                  <c:v>68.195603057954699</c:v>
                </c:pt>
                <c:pt idx="15">
                  <c:v>67.126560558823655</c:v>
                </c:pt>
                <c:pt idx="16">
                  <c:v>67.202588464044396</c:v>
                </c:pt>
                <c:pt idx="17">
                  <c:v>67.349558827908822</c:v>
                </c:pt>
                <c:pt idx="18">
                  <c:v>63.4559343813388</c:v>
                </c:pt>
                <c:pt idx="19">
                  <c:v>63.161969532113304</c:v>
                </c:pt>
                <c:pt idx="20">
                  <c:v>61.798846140234417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A-8E47-8CCD-588094C4E142}"/>
            </c:ext>
          </c:extLst>
        </c:ser>
        <c:ser>
          <c:idx val="3"/>
          <c:order val="3"/>
          <c:tx>
            <c:v>R'2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'3º Alta Frec'!$T$112:$T$132</c:f>
              <c:numCache>
                <c:formatCode>0.0</c:formatCode>
                <c:ptCount val="21"/>
                <c:pt idx="0">
                  <c:v>40.684435257335196</c:v>
                </c:pt>
                <c:pt idx="1">
                  <c:v>45.304208440053273</c:v>
                </c:pt>
                <c:pt idx="2">
                  <c:v>43.087520521848148</c:v>
                </c:pt>
                <c:pt idx="3">
                  <c:v>35.935217926158529</c:v>
                </c:pt>
                <c:pt idx="4">
                  <c:v>40.067832007046519</c:v>
                </c:pt>
                <c:pt idx="5">
                  <c:v>49.540450207589032</c:v>
                </c:pt>
                <c:pt idx="6">
                  <c:v>51.108565125155117</c:v>
                </c:pt>
                <c:pt idx="7">
                  <c:v>55.808360734522914</c:v>
                </c:pt>
                <c:pt idx="8">
                  <c:v>53.881882470018866</c:v>
                </c:pt>
                <c:pt idx="9">
                  <c:v>57.150317178261609</c:v>
                </c:pt>
                <c:pt idx="10">
                  <c:v>58.760280244498539</c:v>
                </c:pt>
                <c:pt idx="11">
                  <c:v>62.04677944284942</c:v>
                </c:pt>
                <c:pt idx="12">
                  <c:v>67.244457605082104</c:v>
                </c:pt>
                <c:pt idx="13">
                  <c:v>67.068263538856286</c:v>
                </c:pt>
                <c:pt idx="14">
                  <c:v>69.164703188035261</c:v>
                </c:pt>
                <c:pt idx="15">
                  <c:v>68.095660688904218</c:v>
                </c:pt>
                <c:pt idx="16">
                  <c:v>68.171688594124959</c:v>
                </c:pt>
                <c:pt idx="17">
                  <c:v>68.318658957989385</c:v>
                </c:pt>
                <c:pt idx="18">
                  <c:v>64.425034511419369</c:v>
                </c:pt>
                <c:pt idx="19">
                  <c:v>64.131069662193866</c:v>
                </c:pt>
                <c:pt idx="20">
                  <c:v>62.767946270314987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A-8E47-8CCD-588094C4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5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4100126651236"/>
          <c:y val="0.60374780331886968"/>
          <c:w val="5.5736234429508646E-2"/>
          <c:h val="0.166621884617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Índice de reducción aparente 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3853664310892095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R' HabSup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(R'')'!$E$3:$E$23</c:f>
              <c:numCache>
                <c:formatCode>0.0</c:formatCode>
                <c:ptCount val="21"/>
                <c:pt idx="0">
                  <c:v>27.355839205834886</c:v>
                </c:pt>
                <c:pt idx="1">
                  <c:v>41.244732997582084</c:v>
                </c:pt>
                <c:pt idx="2">
                  <c:v>35.358595813444936</c:v>
                </c:pt>
                <c:pt idx="3">
                  <c:v>37.864496606779319</c:v>
                </c:pt>
                <c:pt idx="4">
                  <c:v>33.69244458250725</c:v>
                </c:pt>
                <c:pt idx="5">
                  <c:v>38.736524104761116</c:v>
                </c:pt>
                <c:pt idx="6">
                  <c:v>40.588949089531098</c:v>
                </c:pt>
                <c:pt idx="7">
                  <c:v>43.593723839739972</c:v>
                </c:pt>
                <c:pt idx="8">
                  <c:v>41.164398837888072</c:v>
                </c:pt>
                <c:pt idx="9">
                  <c:v>41.781342426807612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50.702349747763122</c:v>
                </c:pt>
                <c:pt idx="13">
                  <c:v>52.469942202150179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42.488766645058647</c:v>
                </c:pt>
                <c:pt idx="19">
                  <c:v>44.102719245111288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9-384F-B1B4-B5F6CC8BA339}"/>
            </c:ext>
          </c:extLst>
        </c:ser>
        <c:ser>
          <c:idx val="1"/>
          <c:order val="1"/>
          <c:tx>
            <c:v>R' Escaleras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(R'')'!$J$3:$J$23</c:f>
              <c:numCache>
                <c:formatCode>0.0</c:formatCode>
                <c:ptCount val="21"/>
                <c:pt idx="0">
                  <c:v>13.814809971107351</c:v>
                </c:pt>
                <c:pt idx="1">
                  <c:v>11.948895587728309</c:v>
                </c:pt>
                <c:pt idx="2">
                  <c:v>9.9602959883230309</c:v>
                </c:pt>
                <c:pt idx="3">
                  <c:v>19.18603487120118</c:v>
                </c:pt>
                <c:pt idx="4">
                  <c:v>16.518022434262374</c:v>
                </c:pt>
                <c:pt idx="5">
                  <c:v>16.449793807423106</c:v>
                </c:pt>
                <c:pt idx="6">
                  <c:v>13.402310360074296</c:v>
                </c:pt>
                <c:pt idx="7">
                  <c:v>11.862086713946493</c:v>
                </c:pt>
                <c:pt idx="8">
                  <c:v>16.209418466940061</c:v>
                </c:pt>
                <c:pt idx="9">
                  <c:v>20.560825103623547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23.966378081951767</c:v>
                </c:pt>
                <c:pt idx="13">
                  <c:v>23.365135319675545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17.73974243960685</c:v>
                </c:pt>
                <c:pt idx="19">
                  <c:v>19.487348776137711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9-384F-B1B4-B5F6CC8BA339}"/>
            </c:ext>
          </c:extLst>
        </c:ser>
        <c:ser>
          <c:idx val="2"/>
          <c:order val="2"/>
          <c:tx>
            <c:v>R' Cocina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(R'')'!$O$3:$O$23</c:f>
              <c:numCache>
                <c:formatCode>0.0</c:formatCode>
                <c:ptCount val="21"/>
                <c:pt idx="0">
                  <c:v>23.931834050830368</c:v>
                </c:pt>
                <c:pt idx="1">
                  <c:v>29.333245835773013</c:v>
                </c:pt>
                <c:pt idx="2">
                  <c:v>28.494743092027186</c:v>
                </c:pt>
                <c:pt idx="3">
                  <c:v>27.971911986126781</c:v>
                </c:pt>
                <c:pt idx="4">
                  <c:v>25.066962514447482</c:v>
                </c:pt>
                <c:pt idx="5">
                  <c:v>27.204002631510068</c:v>
                </c:pt>
                <c:pt idx="6">
                  <c:v>32.660999677774811</c:v>
                </c:pt>
                <c:pt idx="7">
                  <c:v>33.90575996932499</c:v>
                </c:pt>
                <c:pt idx="8">
                  <c:v>31.545889247802631</c:v>
                </c:pt>
                <c:pt idx="9">
                  <c:v>31.597669204023717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36.14477791697346</c:v>
                </c:pt>
                <c:pt idx="13">
                  <c:v>37.96917584497244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38.044466584606838</c:v>
                </c:pt>
                <c:pt idx="19">
                  <c:v>38.73055960620011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9-384F-B1B4-B5F6CC8BA339}"/>
            </c:ext>
          </c:extLst>
        </c:ser>
        <c:ser>
          <c:idx val="3"/>
          <c:order val="3"/>
          <c:tx>
            <c:v>R' Salón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(R'')'!$E$27:$E$47</c:f>
              <c:numCache>
                <c:formatCode>0.0</c:formatCode>
                <c:ptCount val="21"/>
                <c:pt idx="0">
                  <c:v>27.211409966359884</c:v>
                </c:pt>
                <c:pt idx="1">
                  <c:v>31.614265532745684</c:v>
                </c:pt>
                <c:pt idx="2">
                  <c:v>28.276763100779256</c:v>
                </c:pt>
                <c:pt idx="3">
                  <c:v>33.282958288498818</c:v>
                </c:pt>
                <c:pt idx="4">
                  <c:v>28.199951518936825</c:v>
                </c:pt>
                <c:pt idx="5">
                  <c:v>32.552953059409553</c:v>
                </c:pt>
                <c:pt idx="6">
                  <c:v>35.699170525428151</c:v>
                </c:pt>
                <c:pt idx="7">
                  <c:v>34.412477894784992</c:v>
                </c:pt>
                <c:pt idx="8">
                  <c:v>32.52919412570958</c:v>
                </c:pt>
                <c:pt idx="9">
                  <c:v>35.167826368968157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37.793715003886518</c:v>
                </c:pt>
                <c:pt idx="13">
                  <c:v>40.367802752174107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42.420851717285089</c:v>
                </c:pt>
                <c:pt idx="19">
                  <c:v>45.492764305923508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9-384F-B1B4-B5F6CC8BA339}"/>
            </c:ext>
          </c:extLst>
        </c:ser>
        <c:ser>
          <c:idx val="4"/>
          <c:order val="4"/>
          <c:tx>
            <c:v>R' Hab Inf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(R'')'!$J$27:$J$47</c:f>
              <c:numCache>
                <c:formatCode>0.0</c:formatCode>
                <c:ptCount val="21"/>
                <c:pt idx="0">
                  <c:v>40.042880137781616</c:v>
                </c:pt>
                <c:pt idx="1">
                  <c:v>48.373336287240036</c:v>
                </c:pt>
                <c:pt idx="2">
                  <c:v>44.605868970568523</c:v>
                </c:pt>
                <c:pt idx="3">
                  <c:v>37.903723503227148</c:v>
                </c:pt>
                <c:pt idx="4">
                  <c:v>41.52087054263005</c:v>
                </c:pt>
                <c:pt idx="5">
                  <c:v>49.90839224497384</c:v>
                </c:pt>
                <c:pt idx="6">
                  <c:v>53.116597558093794</c:v>
                </c:pt>
                <c:pt idx="7">
                  <c:v>57.03965450631641</c:v>
                </c:pt>
                <c:pt idx="8">
                  <c:v>55.249625330919052</c:v>
                </c:pt>
                <c:pt idx="9">
                  <c:v>57.664595606980136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67.378115971889287</c:v>
                </c:pt>
                <c:pt idx="13">
                  <c:v>67.068732668581561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64.343164969449504</c:v>
                </c:pt>
                <c:pt idx="19">
                  <c:v>64.251936627258175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9-384F-B1B4-B5F6CC8B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11791733160308"/>
          <c:y val="0.40882486956371594"/>
          <c:w val="8.0679550356873547E-2"/>
          <c:h val="0.20552480040058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u="none" strike="noStrike" cap="none" baseline="0">
                <a:effectLst/>
              </a:rPr>
              <a:t>Diferencia de nivel normalizada</a:t>
            </a:r>
            <a:r>
              <a:rPr lang="es-ES" sz="1400" b="1" i="0" u="none" strike="noStrike" cap="none" baseline="0">
                <a:effectLst/>
              </a:rPr>
              <a:t>  DnT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3853664310892095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R' HabSup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(Dnt)'!$E$3:$E$23</c:f>
              <c:numCache>
                <c:formatCode>0.0</c:formatCode>
                <c:ptCount val="21"/>
                <c:pt idx="0">
                  <c:v>26.386739075754321</c:v>
                </c:pt>
                <c:pt idx="1">
                  <c:v>40.275632867501514</c:v>
                </c:pt>
                <c:pt idx="2">
                  <c:v>34.389495683364373</c:v>
                </c:pt>
                <c:pt idx="3">
                  <c:v>36.89539647669875</c:v>
                </c:pt>
                <c:pt idx="4">
                  <c:v>32.723344452426687</c:v>
                </c:pt>
                <c:pt idx="5">
                  <c:v>37.767423974680554</c:v>
                </c:pt>
                <c:pt idx="6">
                  <c:v>39.619848959450536</c:v>
                </c:pt>
                <c:pt idx="7">
                  <c:v>42.62462370965941</c:v>
                </c:pt>
                <c:pt idx="8">
                  <c:v>40.19529870780751</c:v>
                </c:pt>
                <c:pt idx="9">
                  <c:v>40.812242296727035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49.73324961768256</c:v>
                </c:pt>
                <c:pt idx="13">
                  <c:v>51.500842072069617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41.519666514978084</c:v>
                </c:pt>
                <c:pt idx="19">
                  <c:v>43.133619115030719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6-3D4F-973D-FF286780175A}"/>
            </c:ext>
          </c:extLst>
        </c:ser>
        <c:ser>
          <c:idx val="1"/>
          <c:order val="1"/>
          <c:tx>
            <c:v>R' Escaleras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(Dnt)'!$J$3:$J$23</c:f>
              <c:numCache>
                <c:formatCode>0.0</c:formatCode>
                <c:ptCount val="21"/>
                <c:pt idx="0">
                  <c:v>15.398434892059846</c:v>
                </c:pt>
                <c:pt idx="1">
                  <c:v>13.532520508680809</c:v>
                </c:pt>
                <c:pt idx="2">
                  <c:v>11.543920909275528</c:v>
                </c:pt>
                <c:pt idx="3">
                  <c:v>20.769659792153679</c:v>
                </c:pt>
                <c:pt idx="4">
                  <c:v>18.101647355214869</c:v>
                </c:pt>
                <c:pt idx="5">
                  <c:v>18.033418728375604</c:v>
                </c:pt>
                <c:pt idx="6">
                  <c:v>14.985935281026791</c:v>
                </c:pt>
                <c:pt idx="7">
                  <c:v>13.445711634898991</c:v>
                </c:pt>
                <c:pt idx="8">
                  <c:v>17.793043387892556</c:v>
                </c:pt>
                <c:pt idx="9">
                  <c:v>22.144450024576038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25.550003002904262</c:v>
                </c:pt>
                <c:pt idx="13">
                  <c:v>24.948760240628044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19.323367360559345</c:v>
                </c:pt>
                <c:pt idx="19">
                  <c:v>21.07097369709021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6-3D4F-973D-FF286780175A}"/>
            </c:ext>
          </c:extLst>
        </c:ser>
        <c:ser>
          <c:idx val="2"/>
          <c:order val="2"/>
          <c:tx>
            <c:v>R' Cocina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(Dnt)'!$O$3:$O$23</c:f>
              <c:numCache>
                <c:formatCode>0.0</c:formatCode>
                <c:ptCount val="21"/>
                <c:pt idx="0">
                  <c:v>22.163967183657043</c:v>
                </c:pt>
                <c:pt idx="1">
                  <c:v>27.565378968599688</c:v>
                </c:pt>
                <c:pt idx="2">
                  <c:v>26.726876224853861</c:v>
                </c:pt>
                <c:pt idx="3">
                  <c:v>26.204045118953452</c:v>
                </c:pt>
                <c:pt idx="4">
                  <c:v>23.299095647274157</c:v>
                </c:pt>
                <c:pt idx="5">
                  <c:v>25.436135764336747</c:v>
                </c:pt>
                <c:pt idx="6">
                  <c:v>30.893132810601486</c:v>
                </c:pt>
                <c:pt idx="7">
                  <c:v>32.137893102151665</c:v>
                </c:pt>
                <c:pt idx="8">
                  <c:v>29.778022380629302</c:v>
                </c:pt>
                <c:pt idx="9">
                  <c:v>29.829802336850392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34.376911049800128</c:v>
                </c:pt>
                <c:pt idx="13">
                  <c:v>36.201308977799115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36.276599717433513</c:v>
                </c:pt>
                <c:pt idx="19">
                  <c:v>36.962692739026778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6-3D4F-973D-FF286780175A}"/>
            </c:ext>
          </c:extLst>
        </c:ser>
        <c:ser>
          <c:idx val="3"/>
          <c:order val="3"/>
          <c:tx>
            <c:v>R' Salón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(Dnt)'!$E$27:$E$47</c:f>
              <c:numCache>
                <c:formatCode>0.0</c:formatCode>
                <c:ptCount val="21"/>
                <c:pt idx="0">
                  <c:v>25.443543099186559</c:v>
                </c:pt>
                <c:pt idx="1">
                  <c:v>29.846398665572362</c:v>
                </c:pt>
                <c:pt idx="2">
                  <c:v>26.508896233605938</c:v>
                </c:pt>
                <c:pt idx="3">
                  <c:v>31.515091421325494</c:v>
                </c:pt>
                <c:pt idx="4">
                  <c:v>26.4320846517635</c:v>
                </c:pt>
                <c:pt idx="5">
                  <c:v>30.785086192236228</c:v>
                </c:pt>
                <c:pt idx="6">
                  <c:v>33.931303658254834</c:v>
                </c:pt>
                <c:pt idx="7">
                  <c:v>32.644611027611667</c:v>
                </c:pt>
                <c:pt idx="8">
                  <c:v>30.761327258536252</c:v>
                </c:pt>
                <c:pt idx="9">
                  <c:v>33.399959501794832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36.025848136713194</c:v>
                </c:pt>
                <c:pt idx="13">
                  <c:v>38.599935885000775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40.652984850111764</c:v>
                </c:pt>
                <c:pt idx="19">
                  <c:v>43.724897438750183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6-3D4F-973D-FF286780175A}"/>
            </c:ext>
          </c:extLst>
        </c:ser>
        <c:ser>
          <c:idx val="4"/>
          <c:order val="4"/>
          <c:tx>
            <c:v>R' Hab Inf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'4º Alta frec (Dnt)'!$J$27:$J$47</c:f>
              <c:numCache>
                <c:formatCode>0.0</c:formatCode>
                <c:ptCount val="21"/>
                <c:pt idx="0">
                  <c:v>39.073780007701046</c:v>
                </c:pt>
                <c:pt idx="1">
                  <c:v>47.404236157159474</c:v>
                </c:pt>
                <c:pt idx="2">
                  <c:v>43.636768840487946</c:v>
                </c:pt>
                <c:pt idx="3">
                  <c:v>36.934623373146579</c:v>
                </c:pt>
                <c:pt idx="4">
                  <c:v>40.551770412549487</c:v>
                </c:pt>
                <c:pt idx="5">
                  <c:v>48.939292114893277</c:v>
                </c:pt>
                <c:pt idx="6">
                  <c:v>52.147497428013239</c:v>
                </c:pt>
                <c:pt idx="7">
                  <c:v>56.070554376235847</c:v>
                </c:pt>
                <c:pt idx="8">
                  <c:v>54.280525200838483</c:v>
                </c:pt>
                <c:pt idx="9">
                  <c:v>56.695495476899566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66.409015841808724</c:v>
                </c:pt>
                <c:pt idx="13">
                  <c:v>66.099632538500998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63.37406483936892</c:v>
                </c:pt>
                <c:pt idx="19">
                  <c:v>63.282836497177605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6-3D4F-973D-FF286780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Señal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11791733160308"/>
          <c:y val="0.40882486956371594"/>
          <c:w val="8.0679550356873547E-2"/>
          <c:h val="0.20552480040058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(R'')'!$F$5:$F$25</c:f>
              <c:numCache>
                <c:formatCode>0.0</c:formatCode>
                <c:ptCount val="21"/>
                <c:pt idx="0">
                  <c:v>27.45803085765175</c:v>
                </c:pt>
                <c:pt idx="1">
                  <c:v>40.634193343482295</c:v>
                </c:pt>
                <c:pt idx="2">
                  <c:v>34.959880693068015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5-F142-B872-668AB6DCBF0D}"/>
            </c:ext>
          </c:extLst>
        </c:ser>
        <c:ser>
          <c:idx val="11"/>
          <c:order val="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(R'')'!$F$35:$F$55</c:f>
              <c:numCache>
                <c:formatCode>0.0</c:formatCode>
                <c:ptCount val="21"/>
                <c:pt idx="0">
                  <c:v>13.917001622924211</c:v>
                </c:pt>
                <c:pt idx="1">
                  <c:v>11.338355933628531</c:v>
                </c:pt>
                <c:pt idx="2">
                  <c:v>9.5615808679461072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5-F142-B872-668AB6DCBF0D}"/>
            </c:ext>
          </c:extLst>
        </c:ser>
        <c:ser>
          <c:idx val="12"/>
          <c:order val="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(R'')'!$F$65:$F$85</c:f>
              <c:numCache>
                <c:formatCode>0.0</c:formatCode>
                <c:ptCount val="21"/>
                <c:pt idx="0">
                  <c:v>24.034025702647227</c:v>
                </c:pt>
                <c:pt idx="1">
                  <c:v>28.722706181673232</c:v>
                </c:pt>
                <c:pt idx="2">
                  <c:v>28.096027971650265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5-F142-B872-668AB6DCBF0D}"/>
            </c:ext>
          </c:extLst>
        </c:ser>
        <c:ser>
          <c:idx val="13"/>
          <c:order val="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(R'')'!$F$94:$F$114</c:f>
              <c:numCache>
                <c:formatCode>0.0</c:formatCode>
                <c:ptCount val="21"/>
                <c:pt idx="0">
                  <c:v>27.313601618176744</c:v>
                </c:pt>
                <c:pt idx="1">
                  <c:v>31.003725878645902</c:v>
                </c:pt>
                <c:pt idx="2">
                  <c:v>27.878047980402336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5-F142-B872-668AB6DCBF0D}"/>
            </c:ext>
          </c:extLst>
        </c:ser>
        <c:ser>
          <c:idx val="14"/>
          <c:order val="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(R'')'!$F$124:$F$144</c:f>
              <c:numCache>
                <c:formatCode>0.0</c:formatCode>
                <c:ptCount val="21"/>
                <c:pt idx="0">
                  <c:v>40.145071789598468</c:v>
                </c:pt>
                <c:pt idx="1">
                  <c:v>47.762796633140255</c:v>
                </c:pt>
                <c:pt idx="2">
                  <c:v>44.207153850191602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5-F142-B872-668AB6DCBF0D}"/>
            </c:ext>
          </c:extLst>
        </c:ser>
        <c:ser>
          <c:idx val="15"/>
          <c:order val="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(R'')'!$F$5:$F$25</c:f>
              <c:numCache>
                <c:formatCode>0.0</c:formatCode>
                <c:ptCount val="21"/>
                <c:pt idx="0">
                  <c:v>27.45803085765175</c:v>
                </c:pt>
                <c:pt idx="1">
                  <c:v>40.634193343482295</c:v>
                </c:pt>
                <c:pt idx="2">
                  <c:v>34.959880693068015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5-F142-B872-668AB6DCBF0D}"/>
            </c:ext>
          </c:extLst>
        </c:ser>
        <c:ser>
          <c:idx val="16"/>
          <c:order val="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(R'')'!$F$35:$F$55</c:f>
              <c:numCache>
                <c:formatCode>0.0</c:formatCode>
                <c:ptCount val="21"/>
                <c:pt idx="0">
                  <c:v>13.917001622924211</c:v>
                </c:pt>
                <c:pt idx="1">
                  <c:v>11.338355933628531</c:v>
                </c:pt>
                <c:pt idx="2">
                  <c:v>9.5615808679461072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5-F142-B872-668AB6DCBF0D}"/>
            </c:ext>
          </c:extLst>
        </c:ser>
        <c:ser>
          <c:idx val="17"/>
          <c:order val="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(R'')'!$F$65:$F$85</c:f>
              <c:numCache>
                <c:formatCode>0.0</c:formatCode>
                <c:ptCount val="21"/>
                <c:pt idx="0">
                  <c:v>24.034025702647227</c:v>
                </c:pt>
                <c:pt idx="1">
                  <c:v>28.722706181673232</c:v>
                </c:pt>
                <c:pt idx="2">
                  <c:v>28.096027971650265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5-F142-B872-668AB6DCBF0D}"/>
            </c:ext>
          </c:extLst>
        </c:ser>
        <c:ser>
          <c:idx val="18"/>
          <c:order val="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(R'')'!$F$94:$F$114</c:f>
              <c:numCache>
                <c:formatCode>0.0</c:formatCode>
                <c:ptCount val="21"/>
                <c:pt idx="0">
                  <c:v>27.313601618176744</c:v>
                </c:pt>
                <c:pt idx="1">
                  <c:v>31.003725878645902</c:v>
                </c:pt>
                <c:pt idx="2">
                  <c:v>27.878047980402336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65-F142-B872-668AB6DCBF0D}"/>
            </c:ext>
          </c:extLst>
        </c:ser>
        <c:ser>
          <c:idx val="19"/>
          <c:order val="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(R'')'!$F$124:$F$144</c:f>
              <c:numCache>
                <c:formatCode>0.0</c:formatCode>
                <c:ptCount val="21"/>
                <c:pt idx="0">
                  <c:v>40.145071789598468</c:v>
                </c:pt>
                <c:pt idx="1">
                  <c:v>47.762796633140255</c:v>
                </c:pt>
                <c:pt idx="2">
                  <c:v>44.207153850191602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5-F142-B872-668AB6DCBF0D}"/>
            </c:ext>
          </c:extLst>
        </c:ser>
        <c:ser>
          <c:idx val="5"/>
          <c:order val="1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(R'')'!$F$5:$F$25</c:f>
              <c:numCache>
                <c:formatCode>0.0</c:formatCode>
                <c:ptCount val="21"/>
                <c:pt idx="0">
                  <c:v>27.45803085765175</c:v>
                </c:pt>
                <c:pt idx="1">
                  <c:v>40.634193343482295</c:v>
                </c:pt>
                <c:pt idx="2">
                  <c:v>34.959880693068015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65-F142-B872-668AB6DCBF0D}"/>
            </c:ext>
          </c:extLst>
        </c:ser>
        <c:ser>
          <c:idx val="6"/>
          <c:order val="1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(R'')'!$F$35:$F$55</c:f>
              <c:numCache>
                <c:formatCode>0.0</c:formatCode>
                <c:ptCount val="21"/>
                <c:pt idx="0">
                  <c:v>13.917001622924211</c:v>
                </c:pt>
                <c:pt idx="1">
                  <c:v>11.338355933628531</c:v>
                </c:pt>
                <c:pt idx="2">
                  <c:v>9.5615808679461072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5-F142-B872-668AB6DCBF0D}"/>
            </c:ext>
          </c:extLst>
        </c:ser>
        <c:ser>
          <c:idx val="7"/>
          <c:order val="1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(R'')'!$F$65:$F$85</c:f>
              <c:numCache>
                <c:formatCode>0.0</c:formatCode>
                <c:ptCount val="21"/>
                <c:pt idx="0">
                  <c:v>24.034025702647227</c:v>
                </c:pt>
                <c:pt idx="1">
                  <c:v>28.722706181673232</c:v>
                </c:pt>
                <c:pt idx="2">
                  <c:v>28.096027971650265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65-F142-B872-668AB6DCBF0D}"/>
            </c:ext>
          </c:extLst>
        </c:ser>
        <c:ser>
          <c:idx val="8"/>
          <c:order val="1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(R'')'!$F$94:$F$114</c:f>
              <c:numCache>
                <c:formatCode>0.0</c:formatCode>
                <c:ptCount val="21"/>
                <c:pt idx="0">
                  <c:v>27.313601618176744</c:v>
                </c:pt>
                <c:pt idx="1">
                  <c:v>31.003725878645902</c:v>
                </c:pt>
                <c:pt idx="2">
                  <c:v>27.878047980402336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5-F142-B872-668AB6DCBF0D}"/>
            </c:ext>
          </c:extLst>
        </c:ser>
        <c:ser>
          <c:idx val="9"/>
          <c:order val="1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(R'')'!$F$124:$F$144</c:f>
              <c:numCache>
                <c:formatCode>0.0</c:formatCode>
                <c:ptCount val="21"/>
                <c:pt idx="0">
                  <c:v>40.145071789598468</c:v>
                </c:pt>
                <c:pt idx="1">
                  <c:v>47.762796633140255</c:v>
                </c:pt>
                <c:pt idx="2">
                  <c:v>44.207153850191602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65-F142-B872-668AB6DCBF0D}"/>
            </c:ext>
          </c:extLst>
        </c:ser>
        <c:ser>
          <c:idx val="0"/>
          <c:order val="1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(R'')'!$F$5:$F$25</c:f>
              <c:numCache>
                <c:formatCode>0.0</c:formatCode>
                <c:ptCount val="21"/>
                <c:pt idx="0">
                  <c:v>27.45803085765175</c:v>
                </c:pt>
                <c:pt idx="1">
                  <c:v>40.634193343482295</c:v>
                </c:pt>
                <c:pt idx="2">
                  <c:v>34.959880693068015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5-F142-B872-668AB6DCBF0D}"/>
            </c:ext>
          </c:extLst>
        </c:ser>
        <c:ser>
          <c:idx val="1"/>
          <c:order val="1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(R'')'!$F$35:$F$55</c:f>
              <c:numCache>
                <c:formatCode>0.0</c:formatCode>
                <c:ptCount val="21"/>
                <c:pt idx="0">
                  <c:v>13.917001622924211</c:v>
                </c:pt>
                <c:pt idx="1">
                  <c:v>11.338355933628531</c:v>
                </c:pt>
                <c:pt idx="2">
                  <c:v>9.5615808679461072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65-F142-B872-668AB6DCBF0D}"/>
            </c:ext>
          </c:extLst>
        </c:ser>
        <c:ser>
          <c:idx val="2"/>
          <c:order val="1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(R'')'!$F$65:$F$85</c:f>
              <c:numCache>
                <c:formatCode>0.0</c:formatCode>
                <c:ptCount val="21"/>
                <c:pt idx="0">
                  <c:v>24.034025702647227</c:v>
                </c:pt>
                <c:pt idx="1">
                  <c:v>28.722706181673232</c:v>
                </c:pt>
                <c:pt idx="2">
                  <c:v>28.096027971650265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65-F142-B872-668AB6DCBF0D}"/>
            </c:ext>
          </c:extLst>
        </c:ser>
        <c:ser>
          <c:idx val="3"/>
          <c:order val="1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(R'')'!$F$94:$F$114</c:f>
              <c:numCache>
                <c:formatCode>0.0</c:formatCode>
                <c:ptCount val="21"/>
                <c:pt idx="0">
                  <c:v>27.313601618176744</c:v>
                </c:pt>
                <c:pt idx="1">
                  <c:v>31.003725878645902</c:v>
                </c:pt>
                <c:pt idx="2">
                  <c:v>27.878047980402336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65-F142-B872-668AB6DCBF0D}"/>
            </c:ext>
          </c:extLst>
        </c:ser>
        <c:ser>
          <c:idx val="4"/>
          <c:order val="1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(R'')'!$F$124:$F$144</c:f>
              <c:numCache>
                <c:formatCode>0.0</c:formatCode>
                <c:ptCount val="21"/>
                <c:pt idx="0">
                  <c:v>40.145071789598468</c:v>
                </c:pt>
                <c:pt idx="1">
                  <c:v>47.762796633140255</c:v>
                </c:pt>
                <c:pt idx="2">
                  <c:v>44.207153850191602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65-F142-B872-668AB6DC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0.12179288410229713"/>
          <c:h val="0.21837816813565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Índice de reducción aparente 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sup R'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(R'')'!$F$8:$F$23</c:f>
              <c:numCache>
                <c:formatCode>0.0</c:formatCode>
                <c:ptCount val="16"/>
                <c:pt idx="0">
                  <c:v>38.684418840593857</c:v>
                </c:pt>
                <c:pt idx="1">
                  <c:v>34.231198390335791</c:v>
                </c:pt>
                <c:pt idx="2">
                  <c:v>38.436891870986685</c:v>
                </c:pt>
                <c:pt idx="3">
                  <c:v>40.302497275035797</c:v>
                </c:pt>
                <c:pt idx="4">
                  <c:v>43.195008719363052</c:v>
                </c:pt>
                <c:pt idx="5">
                  <c:v>41.086145462768506</c:v>
                </c:pt>
                <c:pt idx="6">
                  <c:v>41.988188415406114</c:v>
                </c:pt>
                <c:pt idx="7">
                  <c:v>43.587870338278677</c:v>
                </c:pt>
                <c:pt idx="8">
                  <c:v>48.627112570482936</c:v>
                </c:pt>
                <c:pt idx="9">
                  <c:v>50.80219195682912</c:v>
                </c:pt>
                <c:pt idx="10">
                  <c:v>52.647229871754497</c:v>
                </c:pt>
                <c:pt idx="11">
                  <c:v>51.121031315311505</c:v>
                </c:pt>
                <c:pt idx="12">
                  <c:v>52.070932794333203</c:v>
                </c:pt>
                <c:pt idx="13">
                  <c:v>51.340756874922626</c:v>
                </c:pt>
                <c:pt idx="14">
                  <c:v>46.702355924532348</c:v>
                </c:pt>
                <c:pt idx="15">
                  <c:v>42.384112308277004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C-4A4D-A043-2019448B2925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(R'')'!$G$8:$G$23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4A4D-A043-2019448B2925}"/>
            </c:ext>
          </c:extLst>
        </c:ser>
        <c:ser>
          <c:idx val="1"/>
          <c:order val="2"/>
          <c:tx>
            <c:v>Curva ref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(R'')'!$I$8:$I$23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C-4A4D-A043-2019448B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1804769436726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Escaleras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(R'')'!$F$38:$F$53</c:f>
              <c:numCache>
                <c:formatCode>0.0</c:formatCode>
                <c:ptCount val="16"/>
                <c:pt idx="0">
                  <c:v>20.005957105015714</c:v>
                </c:pt>
                <c:pt idx="1">
                  <c:v>17.056776242090919</c:v>
                </c:pt>
                <c:pt idx="2">
                  <c:v>16.150161573648674</c:v>
                </c:pt>
                <c:pt idx="3">
                  <c:v>13.115858545578995</c:v>
                </c:pt>
                <c:pt idx="4">
                  <c:v>11.463371593569571</c:v>
                </c:pt>
                <c:pt idx="5">
                  <c:v>16.131165091820495</c:v>
                </c:pt>
                <c:pt idx="6">
                  <c:v>20.767671092222059</c:v>
                </c:pt>
                <c:pt idx="7">
                  <c:v>21.772279066582016</c:v>
                </c:pt>
                <c:pt idx="8">
                  <c:v>23.00063241110476</c:v>
                </c:pt>
                <c:pt idx="9">
                  <c:v>24.066220291017775</c:v>
                </c:pt>
                <c:pt idx="10">
                  <c:v>23.542422989279864</c:v>
                </c:pt>
                <c:pt idx="11">
                  <c:v>23.278231421794217</c:v>
                </c:pt>
                <c:pt idx="12">
                  <c:v>23.58507239531172</c:v>
                </c:pt>
                <c:pt idx="13">
                  <c:v>21.411076852541914</c:v>
                </c:pt>
                <c:pt idx="14">
                  <c:v>18.433466847462196</c:v>
                </c:pt>
                <c:pt idx="15">
                  <c:v>17.635088102825197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A-B440-84E2-14714F53C75C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(R'')'!$G$38:$G$53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A-B440-84E2-14714F53C75C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(R'')'!$I$38:$I$53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A-B440-84E2-14714F53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42489997596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Cocina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(R'')'!$F$68:$F$83</c:f>
              <c:numCache>
                <c:formatCode>0.0</c:formatCode>
                <c:ptCount val="16"/>
                <c:pt idx="0">
                  <c:v>28.791834219941311</c:v>
                </c:pt>
                <c:pt idx="1">
                  <c:v>25.605716322276027</c:v>
                </c:pt>
                <c:pt idx="2">
                  <c:v>26.904370397735633</c:v>
                </c:pt>
                <c:pt idx="3">
                  <c:v>32.37454786327951</c:v>
                </c:pt>
                <c:pt idx="4">
                  <c:v>33.50704484894807</c:v>
                </c:pt>
                <c:pt idx="5">
                  <c:v>31.467635872683065</c:v>
                </c:pt>
                <c:pt idx="6">
                  <c:v>31.804515192622226</c:v>
                </c:pt>
                <c:pt idx="7">
                  <c:v>34.284502688794831</c:v>
                </c:pt>
                <c:pt idx="8">
                  <c:v>33.053149812014659</c:v>
                </c:pt>
                <c:pt idx="9">
                  <c:v>36.244620126039472</c:v>
                </c:pt>
                <c:pt idx="10">
                  <c:v>38.146463514576759</c:v>
                </c:pt>
                <c:pt idx="11">
                  <c:v>38.811641303025141</c:v>
                </c:pt>
                <c:pt idx="12">
                  <c:v>39.700699195063947</c:v>
                </c:pt>
                <c:pt idx="13">
                  <c:v>41.088830721913531</c:v>
                </c:pt>
                <c:pt idx="14">
                  <c:v>40.252887603359454</c:v>
                </c:pt>
                <c:pt idx="15">
                  <c:v>37.939812247825188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5-E941-9B0C-B1DE4350559B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(R'')'!$G$68:$G$83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5-E941-9B0C-B1DE4350559B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(R'')'!$I$68:$I$83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5-E941-9B0C-B1DE4350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4147849287434106E-2"/>
          <c:h val="0.21200622082718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Salón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(R'')'!$F$97:$F$112</c:f>
              <c:numCache>
                <c:formatCode>0.0</c:formatCode>
                <c:ptCount val="16"/>
                <c:pt idx="0">
                  <c:v>34.102880522313363</c:v>
                </c:pt>
                <c:pt idx="1">
                  <c:v>28.73870532676537</c:v>
                </c:pt>
                <c:pt idx="2">
                  <c:v>32.253320825635122</c:v>
                </c:pt>
                <c:pt idx="3">
                  <c:v>35.412718710932857</c:v>
                </c:pt>
                <c:pt idx="4">
                  <c:v>34.013762774408065</c:v>
                </c:pt>
                <c:pt idx="5">
                  <c:v>32.450940750590014</c:v>
                </c:pt>
                <c:pt idx="6">
                  <c:v>35.374672357566666</c:v>
                </c:pt>
                <c:pt idx="7">
                  <c:v>34.380723092017426</c:v>
                </c:pt>
                <c:pt idx="8">
                  <c:v>36.13998575553137</c:v>
                </c:pt>
                <c:pt idx="9">
                  <c:v>37.893557212952523</c:v>
                </c:pt>
                <c:pt idx="10">
                  <c:v>40.545090421778418</c:v>
                </c:pt>
                <c:pt idx="11">
                  <c:v>42.916067430773182</c:v>
                </c:pt>
                <c:pt idx="12">
                  <c:v>43.803000590712287</c:v>
                </c:pt>
                <c:pt idx="13">
                  <c:v>45.859023043867325</c:v>
                </c:pt>
                <c:pt idx="14">
                  <c:v>45.281393218646855</c:v>
                </c:pt>
                <c:pt idx="15">
                  <c:v>42.316197380503439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1-3A45-9E67-8AE58E1F78DB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(R'')'!$G$8:$G$23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1-3A45-9E67-8AE58E1F78DB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(R'')'!$I$97:$I$112</c:f>
              <c:numCache>
                <c:formatCode>General</c:formatCode>
                <c:ptCount val="16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1-3A45-9E67-8AE58E1F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6174036350995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Escaleras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Frec'!$P$31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Frec'!$P$32:$P$52</c:f>
              <c:numCache>
                <c:formatCode>0.00</c:formatCode>
                <c:ptCount val="21"/>
                <c:pt idx="0">
                  <c:v>69.577585923807703</c:v>
                </c:pt>
                <c:pt idx="1">
                  <c:v>57.506203658680498</c:v>
                </c:pt>
                <c:pt idx="2">
                  <c:v>71.877005167333792</c:v>
                </c:pt>
                <c:pt idx="3">
                  <c:v>71.512278400899788</c:v>
                </c:pt>
                <c:pt idx="4">
                  <c:v>71.386758187877817</c:v>
                </c:pt>
                <c:pt idx="5">
                  <c:v>87.156858001825015</c:v>
                </c:pt>
                <c:pt idx="6">
                  <c:v>89.502060523957809</c:v>
                </c:pt>
                <c:pt idx="7">
                  <c:v>89.336040388042036</c:v>
                </c:pt>
                <c:pt idx="8">
                  <c:v>86.697974244904614</c:v>
                </c:pt>
                <c:pt idx="9">
                  <c:v>84.015156314400215</c:v>
                </c:pt>
                <c:pt idx="10">
                  <c:v>79.713752050363524</c:v>
                </c:pt>
                <c:pt idx="11">
                  <c:v>79.222846136346973</c:v>
                </c:pt>
                <c:pt idx="12">
                  <c:v>76.649410276811835</c:v>
                </c:pt>
                <c:pt idx="13">
                  <c:v>75.589278391558864</c:v>
                </c:pt>
                <c:pt idx="14">
                  <c:v>74.598128670522016</c:v>
                </c:pt>
                <c:pt idx="15">
                  <c:v>73.848110148208676</c:v>
                </c:pt>
                <c:pt idx="16">
                  <c:v>74.415051877271992</c:v>
                </c:pt>
                <c:pt idx="17">
                  <c:v>77.470998684263051</c:v>
                </c:pt>
                <c:pt idx="18">
                  <c:v>77.823327604808739</c:v>
                </c:pt>
                <c:pt idx="19">
                  <c:v>72.922943166000309</c:v>
                </c:pt>
                <c:pt idx="20">
                  <c:v>68.540454124769781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E-C047-9B11-8C46C4869E28}"/>
            </c:ext>
          </c:extLst>
        </c:ser>
        <c:ser>
          <c:idx val="1"/>
          <c:order val="1"/>
          <c:tx>
            <c:strRef>
              <c:f>'1º Alta Frec'!$Q$31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Frec'!$Q$32:$Q$52</c:f>
              <c:numCache>
                <c:formatCode>0.00</c:formatCode>
                <c:ptCount val="21"/>
                <c:pt idx="0">
                  <c:v>57.868792752839582</c:v>
                </c:pt>
                <c:pt idx="1">
                  <c:v>64.390547584084899</c:v>
                </c:pt>
                <c:pt idx="2">
                  <c:v>78.684240721208553</c:v>
                </c:pt>
                <c:pt idx="3">
                  <c:v>77.412630866555602</c:v>
                </c:pt>
                <c:pt idx="4">
                  <c:v>75.338724263026549</c:v>
                </c:pt>
                <c:pt idx="5">
                  <c:v>86.709399641351865</c:v>
                </c:pt>
                <c:pt idx="6">
                  <c:v>87.979554728267317</c:v>
                </c:pt>
                <c:pt idx="7">
                  <c:v>89.135719212454234</c:v>
                </c:pt>
                <c:pt idx="8">
                  <c:v>88.715708680125744</c:v>
                </c:pt>
                <c:pt idx="9">
                  <c:v>85.163059487967161</c:v>
                </c:pt>
                <c:pt idx="10">
                  <c:v>79.778202281278723</c:v>
                </c:pt>
                <c:pt idx="11">
                  <c:v>80.186580296033242</c:v>
                </c:pt>
                <c:pt idx="12">
                  <c:v>78.713848939204354</c:v>
                </c:pt>
                <c:pt idx="13">
                  <c:v>76.468249174403965</c:v>
                </c:pt>
                <c:pt idx="14">
                  <c:v>75.92319040461328</c:v>
                </c:pt>
                <c:pt idx="15">
                  <c:v>73.904786061064343</c:v>
                </c:pt>
                <c:pt idx="16">
                  <c:v>74.406046807652857</c:v>
                </c:pt>
                <c:pt idx="17">
                  <c:v>78.197784669937633</c:v>
                </c:pt>
                <c:pt idx="18">
                  <c:v>77.604501148781239</c:v>
                </c:pt>
                <c:pt idx="19">
                  <c:v>72.707411460225003</c:v>
                </c:pt>
                <c:pt idx="20">
                  <c:v>69.271480111514819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E-C047-9B11-8C46C4869E28}"/>
            </c:ext>
          </c:extLst>
        </c:ser>
        <c:ser>
          <c:idx val="2"/>
          <c:order val="2"/>
          <c:tx>
            <c:strRef>
              <c:f>'1º Alta Frec'!$R$31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Frec'!$R$32:$R$52</c:f>
              <c:numCache>
                <c:formatCode>0.00</c:formatCode>
                <c:ptCount val="21"/>
                <c:pt idx="0">
                  <c:v>73.089658779404971</c:v>
                </c:pt>
                <c:pt idx="1">
                  <c:v>69.440966979716123</c:v>
                </c:pt>
                <c:pt idx="2">
                  <c:v>77.007555420979273</c:v>
                </c:pt>
                <c:pt idx="3">
                  <c:v>73.025628076136627</c:v>
                </c:pt>
                <c:pt idx="4">
                  <c:v>71.852697040165012</c:v>
                </c:pt>
                <c:pt idx="5">
                  <c:v>86.492400418117256</c:v>
                </c:pt>
                <c:pt idx="6">
                  <c:v>90.688100636751173</c:v>
                </c:pt>
                <c:pt idx="7">
                  <c:v>93.724913148265031</c:v>
                </c:pt>
                <c:pt idx="8">
                  <c:v>86.326230442902585</c:v>
                </c:pt>
                <c:pt idx="9">
                  <c:v>84.153329572044271</c:v>
                </c:pt>
                <c:pt idx="10">
                  <c:v>81.37723579443454</c:v>
                </c:pt>
                <c:pt idx="11">
                  <c:v>79.1320830373608</c:v>
                </c:pt>
                <c:pt idx="12">
                  <c:v>77.955278369070129</c:v>
                </c:pt>
                <c:pt idx="13">
                  <c:v>75.717461586916414</c:v>
                </c:pt>
                <c:pt idx="14">
                  <c:v>74.65327649671832</c:v>
                </c:pt>
                <c:pt idx="15">
                  <c:v>74.041422597024166</c:v>
                </c:pt>
                <c:pt idx="16">
                  <c:v>74.248713694362252</c:v>
                </c:pt>
                <c:pt idx="17">
                  <c:v>77.958643945394741</c:v>
                </c:pt>
                <c:pt idx="18">
                  <c:v>78.187541825824113</c:v>
                </c:pt>
                <c:pt idx="19">
                  <c:v>72.8535290700639</c:v>
                </c:pt>
                <c:pt idx="20">
                  <c:v>68.3132004797516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E-C047-9B11-8C46C4869E28}"/>
            </c:ext>
          </c:extLst>
        </c:ser>
        <c:ser>
          <c:idx val="3"/>
          <c:order val="3"/>
          <c:tx>
            <c:strRef>
              <c:f>'1º Alta Frec'!$S$31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Frec'!$S$32:$S$52</c:f>
              <c:numCache>
                <c:formatCode>0.00</c:formatCode>
                <c:ptCount val="21"/>
                <c:pt idx="0">
                  <c:v>74.370988504318959</c:v>
                </c:pt>
                <c:pt idx="1">
                  <c:v>57.751129600888206</c:v>
                </c:pt>
                <c:pt idx="2">
                  <c:v>78.704069700695214</c:v>
                </c:pt>
                <c:pt idx="3">
                  <c:v>76.215222654796776</c:v>
                </c:pt>
                <c:pt idx="4">
                  <c:v>74.02930512201219</c:v>
                </c:pt>
                <c:pt idx="5">
                  <c:v>90.298661295572913</c:v>
                </c:pt>
                <c:pt idx="6">
                  <c:v>89.723884357270734</c:v>
                </c:pt>
                <c:pt idx="7">
                  <c:v>95.050279170445037</c:v>
                </c:pt>
                <c:pt idx="8">
                  <c:v>86.371459575834734</c:v>
                </c:pt>
                <c:pt idx="9">
                  <c:v>86.964862242199132</c:v>
                </c:pt>
                <c:pt idx="10">
                  <c:v>84.667244349888392</c:v>
                </c:pt>
                <c:pt idx="11">
                  <c:v>81.481990240187869</c:v>
                </c:pt>
                <c:pt idx="12">
                  <c:v>80.868830428350535</c:v>
                </c:pt>
                <c:pt idx="13">
                  <c:v>80.603040357317241</c:v>
                </c:pt>
                <c:pt idx="14">
                  <c:v>77.346406373523536</c:v>
                </c:pt>
                <c:pt idx="15">
                  <c:v>75.115850713820691</c:v>
                </c:pt>
                <c:pt idx="16">
                  <c:v>76.215660102480939</c:v>
                </c:pt>
                <c:pt idx="17">
                  <c:v>79.312020241873611</c:v>
                </c:pt>
                <c:pt idx="18">
                  <c:v>79.502942228771388</c:v>
                </c:pt>
                <c:pt idx="19">
                  <c:v>75.273584151495072</c:v>
                </c:pt>
                <c:pt idx="20">
                  <c:v>71.182481238955546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E-C047-9B11-8C46C4869E28}"/>
            </c:ext>
          </c:extLst>
        </c:ser>
        <c:ser>
          <c:idx val="4"/>
          <c:order val="4"/>
          <c:tx>
            <c:strRef>
              <c:f>'1º Alta Frec'!$T$31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Frec'!$T$32:$T$52</c:f>
              <c:numCache>
                <c:formatCode>0.00</c:formatCode>
                <c:ptCount val="21"/>
                <c:pt idx="0">
                  <c:v>67.560379395471159</c:v>
                </c:pt>
                <c:pt idx="1">
                  <c:v>65.381736035755438</c:v>
                </c:pt>
                <c:pt idx="2">
                  <c:v>75.002937103947048</c:v>
                </c:pt>
                <c:pt idx="3">
                  <c:v>74.913360867394744</c:v>
                </c:pt>
                <c:pt idx="4">
                  <c:v>75.702756975337337</c:v>
                </c:pt>
                <c:pt idx="5">
                  <c:v>89.352867478929653</c:v>
                </c:pt>
                <c:pt idx="6">
                  <c:v>88.395363911398334</c:v>
                </c:pt>
                <c:pt idx="7">
                  <c:v>93.726895535187268</c:v>
                </c:pt>
                <c:pt idx="8">
                  <c:v>89.340914134226594</c:v>
                </c:pt>
                <c:pt idx="9">
                  <c:v>87.122142670588275</c:v>
                </c:pt>
                <c:pt idx="10">
                  <c:v>81.62980966870893</c:v>
                </c:pt>
                <c:pt idx="11">
                  <c:v>78.650361649455419</c:v>
                </c:pt>
                <c:pt idx="12">
                  <c:v>78.812053331626615</c:v>
                </c:pt>
                <c:pt idx="13">
                  <c:v>77.804743703451152</c:v>
                </c:pt>
                <c:pt idx="14">
                  <c:v>75.380782001631204</c:v>
                </c:pt>
                <c:pt idx="15">
                  <c:v>74.746708066791612</c:v>
                </c:pt>
                <c:pt idx="16">
                  <c:v>73.791964768675001</c:v>
                </c:pt>
                <c:pt idx="17">
                  <c:v>78.015939846534465</c:v>
                </c:pt>
                <c:pt idx="18">
                  <c:v>78.518658128578693</c:v>
                </c:pt>
                <c:pt idx="19">
                  <c:v>72.691642687800297</c:v>
                </c:pt>
                <c:pt idx="20">
                  <c:v>69.474103426451407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2E-C047-9B11-8C46C4869E28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Frec'!$C$6:$C$26</c:f>
              <c:numCache>
                <c:formatCode>0.00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2E-C047-9B11-8C46C486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Inf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(R'')'!$F$127:$F$142</c:f>
              <c:numCache>
                <c:formatCode>0.0</c:formatCode>
                <c:ptCount val="16"/>
                <c:pt idx="0">
                  <c:v>38.723645737041679</c:v>
                </c:pt>
                <c:pt idx="1">
                  <c:v>42.059624350458591</c:v>
                </c:pt>
                <c:pt idx="2">
                  <c:v>49.608760011199408</c:v>
                </c:pt>
                <c:pt idx="3">
                  <c:v>52.830145743598493</c:v>
                </c:pt>
                <c:pt idx="4">
                  <c:v>56.64093938593949</c:v>
                </c:pt>
                <c:pt idx="5">
                  <c:v>55.171371955799479</c:v>
                </c:pt>
                <c:pt idx="6">
                  <c:v>57.871441595578645</c:v>
                </c:pt>
                <c:pt idx="7">
                  <c:v>59.168050820253669</c:v>
                </c:pt>
                <c:pt idx="8">
                  <c:v>62.831423318164248</c:v>
                </c:pt>
                <c:pt idx="9">
                  <c:v>67.477958180955298</c:v>
                </c:pt>
                <c:pt idx="10">
                  <c:v>67.246020338185872</c:v>
                </c:pt>
                <c:pt idx="11">
                  <c:v>69.01154117597838</c:v>
                </c:pt>
                <c:pt idx="12">
                  <c:v>68.639048290541893</c:v>
                </c:pt>
                <c:pt idx="13">
                  <c:v>68.941869164155889</c:v>
                </c:pt>
                <c:pt idx="14">
                  <c:v>68.293180577750661</c:v>
                </c:pt>
                <c:pt idx="15">
                  <c:v>64.23851063266784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9-9F41-AA54-08EFE58F27F6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(R'')'!$G$127:$G$142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9-9F41-AA54-08EFE58F27F6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(R'')'!$I$127:$I$142</c:f>
              <c:numCache>
                <c:formatCode>General</c:formatCode>
                <c:ptCount val="16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51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9-9F41-AA54-08EFE58F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452963117617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(Dnt)'!$F$5:$F$25</c:f>
              <c:numCache>
                <c:formatCode>0.0</c:formatCode>
                <c:ptCount val="21"/>
                <c:pt idx="0">
                  <c:v>26.488930727571184</c:v>
                </c:pt>
                <c:pt idx="1">
                  <c:v>39.665093213401732</c:v>
                </c:pt>
                <c:pt idx="2">
                  <c:v>33.990780562987446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6-F240-BF8E-7AC83B1AC5CB}"/>
            </c:ext>
          </c:extLst>
        </c:ser>
        <c:ser>
          <c:idx val="11"/>
          <c:order val="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(Dnt)'!$F$34:$F$54</c:f>
              <c:numCache>
                <c:formatCode>0.0</c:formatCode>
                <c:ptCount val="21"/>
                <c:pt idx="0">
                  <c:v>15.500626543876709</c:v>
                </c:pt>
                <c:pt idx="1">
                  <c:v>12.921980854581028</c:v>
                </c:pt>
                <c:pt idx="2">
                  <c:v>11.145205788898604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6-F240-BF8E-7AC83B1AC5CB}"/>
            </c:ext>
          </c:extLst>
        </c:ser>
        <c:ser>
          <c:idx val="12"/>
          <c:order val="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(Dnt)'!$F$63:$F$83</c:f>
              <c:numCache>
                <c:formatCode>0.0</c:formatCode>
                <c:ptCount val="21"/>
                <c:pt idx="0">
                  <c:v>22.266158835473902</c:v>
                </c:pt>
                <c:pt idx="1">
                  <c:v>26.954839314499907</c:v>
                </c:pt>
                <c:pt idx="2">
                  <c:v>26.328161104476937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6-F240-BF8E-7AC83B1AC5CB}"/>
            </c:ext>
          </c:extLst>
        </c:ser>
        <c:ser>
          <c:idx val="13"/>
          <c:order val="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(Dnt)'!$F$92:$F$112</c:f>
              <c:numCache>
                <c:formatCode>0.0</c:formatCode>
                <c:ptCount val="21"/>
                <c:pt idx="0">
                  <c:v>25.545734751003423</c:v>
                </c:pt>
                <c:pt idx="1">
                  <c:v>29.235859011472574</c:v>
                </c:pt>
                <c:pt idx="2">
                  <c:v>26.110181113229011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D6-F240-BF8E-7AC83B1AC5CB}"/>
            </c:ext>
          </c:extLst>
        </c:ser>
        <c:ser>
          <c:idx val="14"/>
          <c:order val="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(Dnt)'!$F$122:$F$142</c:f>
              <c:numCache>
                <c:formatCode>0.0</c:formatCode>
                <c:ptCount val="21"/>
                <c:pt idx="0">
                  <c:v>39.175971659517906</c:v>
                </c:pt>
                <c:pt idx="1">
                  <c:v>46.793696503059692</c:v>
                </c:pt>
                <c:pt idx="2">
                  <c:v>43.238053720111026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D6-F240-BF8E-7AC83B1AC5CB}"/>
            </c:ext>
          </c:extLst>
        </c:ser>
        <c:ser>
          <c:idx val="15"/>
          <c:order val="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(Dnt)'!$F$5:$F$25</c:f>
              <c:numCache>
                <c:formatCode>0.0</c:formatCode>
                <c:ptCount val="21"/>
                <c:pt idx="0">
                  <c:v>26.488930727571184</c:v>
                </c:pt>
                <c:pt idx="1">
                  <c:v>39.665093213401732</c:v>
                </c:pt>
                <c:pt idx="2">
                  <c:v>33.990780562987446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D6-F240-BF8E-7AC83B1AC5CB}"/>
            </c:ext>
          </c:extLst>
        </c:ser>
        <c:ser>
          <c:idx val="16"/>
          <c:order val="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(Dnt)'!$F$34:$F$54</c:f>
              <c:numCache>
                <c:formatCode>0.0</c:formatCode>
                <c:ptCount val="21"/>
                <c:pt idx="0">
                  <c:v>15.500626543876709</c:v>
                </c:pt>
                <c:pt idx="1">
                  <c:v>12.921980854581028</c:v>
                </c:pt>
                <c:pt idx="2">
                  <c:v>11.145205788898604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D6-F240-BF8E-7AC83B1AC5CB}"/>
            </c:ext>
          </c:extLst>
        </c:ser>
        <c:ser>
          <c:idx val="17"/>
          <c:order val="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(Dnt)'!$F$63:$F$83</c:f>
              <c:numCache>
                <c:formatCode>0.0</c:formatCode>
                <c:ptCount val="21"/>
                <c:pt idx="0">
                  <c:v>22.266158835473902</c:v>
                </c:pt>
                <c:pt idx="1">
                  <c:v>26.954839314499907</c:v>
                </c:pt>
                <c:pt idx="2">
                  <c:v>26.328161104476937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D6-F240-BF8E-7AC83B1AC5CB}"/>
            </c:ext>
          </c:extLst>
        </c:ser>
        <c:ser>
          <c:idx val="18"/>
          <c:order val="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(Dnt)'!$F$92:$F$112</c:f>
              <c:numCache>
                <c:formatCode>0.0</c:formatCode>
                <c:ptCount val="21"/>
                <c:pt idx="0">
                  <c:v>25.545734751003423</c:v>
                </c:pt>
                <c:pt idx="1">
                  <c:v>29.235859011472574</c:v>
                </c:pt>
                <c:pt idx="2">
                  <c:v>26.110181113229011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D6-F240-BF8E-7AC83B1AC5CB}"/>
            </c:ext>
          </c:extLst>
        </c:ser>
        <c:ser>
          <c:idx val="19"/>
          <c:order val="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(Dnt)'!$F$122:$F$142</c:f>
              <c:numCache>
                <c:formatCode>0.0</c:formatCode>
                <c:ptCount val="21"/>
                <c:pt idx="0">
                  <c:v>39.175971659517906</c:v>
                </c:pt>
                <c:pt idx="1">
                  <c:v>46.793696503059692</c:v>
                </c:pt>
                <c:pt idx="2">
                  <c:v>43.238053720111026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D6-F240-BF8E-7AC83B1AC5CB}"/>
            </c:ext>
          </c:extLst>
        </c:ser>
        <c:ser>
          <c:idx val="5"/>
          <c:order val="1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(Dnt)'!$F$5:$F$25</c:f>
              <c:numCache>
                <c:formatCode>0.0</c:formatCode>
                <c:ptCount val="21"/>
                <c:pt idx="0">
                  <c:v>26.488930727571184</c:v>
                </c:pt>
                <c:pt idx="1">
                  <c:v>39.665093213401732</c:v>
                </c:pt>
                <c:pt idx="2">
                  <c:v>33.990780562987446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D6-F240-BF8E-7AC83B1AC5CB}"/>
            </c:ext>
          </c:extLst>
        </c:ser>
        <c:ser>
          <c:idx val="6"/>
          <c:order val="1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(Dnt)'!$F$34:$F$54</c:f>
              <c:numCache>
                <c:formatCode>0.0</c:formatCode>
                <c:ptCount val="21"/>
                <c:pt idx="0">
                  <c:v>15.500626543876709</c:v>
                </c:pt>
                <c:pt idx="1">
                  <c:v>12.921980854581028</c:v>
                </c:pt>
                <c:pt idx="2">
                  <c:v>11.145205788898604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D6-F240-BF8E-7AC83B1AC5CB}"/>
            </c:ext>
          </c:extLst>
        </c:ser>
        <c:ser>
          <c:idx val="7"/>
          <c:order val="1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(Dnt)'!$F$63:$F$83</c:f>
              <c:numCache>
                <c:formatCode>0.0</c:formatCode>
                <c:ptCount val="21"/>
                <c:pt idx="0">
                  <c:v>22.266158835473902</c:v>
                </c:pt>
                <c:pt idx="1">
                  <c:v>26.954839314499907</c:v>
                </c:pt>
                <c:pt idx="2">
                  <c:v>26.328161104476937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D6-F240-BF8E-7AC83B1AC5CB}"/>
            </c:ext>
          </c:extLst>
        </c:ser>
        <c:ser>
          <c:idx val="8"/>
          <c:order val="1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(Dnt)'!$F$92:$F$112</c:f>
              <c:numCache>
                <c:formatCode>0.0</c:formatCode>
                <c:ptCount val="21"/>
                <c:pt idx="0">
                  <c:v>25.545734751003423</c:v>
                </c:pt>
                <c:pt idx="1">
                  <c:v>29.235859011472574</c:v>
                </c:pt>
                <c:pt idx="2">
                  <c:v>26.110181113229011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D6-F240-BF8E-7AC83B1AC5CB}"/>
            </c:ext>
          </c:extLst>
        </c:ser>
        <c:ser>
          <c:idx val="9"/>
          <c:order val="1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(Dnt)'!$F$122:$F$142</c:f>
              <c:numCache>
                <c:formatCode>0.0</c:formatCode>
                <c:ptCount val="21"/>
                <c:pt idx="0">
                  <c:v>39.175971659517906</c:v>
                </c:pt>
                <c:pt idx="1">
                  <c:v>46.793696503059692</c:v>
                </c:pt>
                <c:pt idx="2">
                  <c:v>43.238053720111026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D6-F240-BF8E-7AC83B1AC5CB}"/>
            </c:ext>
          </c:extLst>
        </c:ser>
        <c:ser>
          <c:idx val="0"/>
          <c:order val="1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(Dnt)'!$F$5:$F$25</c:f>
              <c:numCache>
                <c:formatCode>0.0</c:formatCode>
                <c:ptCount val="21"/>
                <c:pt idx="0">
                  <c:v>26.488930727571184</c:v>
                </c:pt>
                <c:pt idx="1">
                  <c:v>39.665093213401732</c:v>
                </c:pt>
                <c:pt idx="2">
                  <c:v>33.990780562987446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D6-F240-BF8E-7AC83B1AC5CB}"/>
            </c:ext>
          </c:extLst>
        </c:ser>
        <c:ser>
          <c:idx val="1"/>
          <c:order val="1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(Dnt)'!$F$34:$F$54</c:f>
              <c:numCache>
                <c:formatCode>0.0</c:formatCode>
                <c:ptCount val="21"/>
                <c:pt idx="0">
                  <c:v>15.500626543876709</c:v>
                </c:pt>
                <c:pt idx="1">
                  <c:v>12.921980854581028</c:v>
                </c:pt>
                <c:pt idx="2">
                  <c:v>11.145205788898604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7D6-F240-BF8E-7AC83B1AC5CB}"/>
            </c:ext>
          </c:extLst>
        </c:ser>
        <c:ser>
          <c:idx val="2"/>
          <c:order val="1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(Dnt)'!$F$63:$F$83</c:f>
              <c:numCache>
                <c:formatCode>0.0</c:formatCode>
                <c:ptCount val="21"/>
                <c:pt idx="0">
                  <c:v>22.266158835473902</c:v>
                </c:pt>
                <c:pt idx="1">
                  <c:v>26.954839314499907</c:v>
                </c:pt>
                <c:pt idx="2">
                  <c:v>26.328161104476937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D6-F240-BF8E-7AC83B1AC5CB}"/>
            </c:ext>
          </c:extLst>
        </c:ser>
        <c:ser>
          <c:idx val="3"/>
          <c:order val="1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(Dnt)'!$F$92:$F$112</c:f>
              <c:numCache>
                <c:formatCode>0.0</c:formatCode>
                <c:ptCount val="21"/>
                <c:pt idx="0">
                  <c:v>25.545734751003423</c:v>
                </c:pt>
                <c:pt idx="1">
                  <c:v>29.235859011472574</c:v>
                </c:pt>
                <c:pt idx="2">
                  <c:v>26.110181113229011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7D6-F240-BF8E-7AC83B1AC5CB}"/>
            </c:ext>
          </c:extLst>
        </c:ser>
        <c:ser>
          <c:idx val="4"/>
          <c:order val="1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Alta Frec (Dnt)'!$F$122:$F$142</c:f>
              <c:numCache>
                <c:formatCode>0.0</c:formatCode>
                <c:ptCount val="21"/>
                <c:pt idx="0">
                  <c:v>39.175971659517906</c:v>
                </c:pt>
                <c:pt idx="1">
                  <c:v>46.793696503059692</c:v>
                </c:pt>
                <c:pt idx="2">
                  <c:v>43.238053720111026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7D6-F240-BF8E-7AC83B1A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0.12179288410229713"/>
          <c:h val="0.21837816813565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Escaleras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643025639357066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Escaleras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(Dnt)'!$F$37:$F$52</c:f>
              <c:numCache>
                <c:formatCode>0.0</c:formatCode>
                <c:ptCount val="16"/>
                <c:pt idx="0">
                  <c:v>21.589582025968213</c:v>
                </c:pt>
                <c:pt idx="1">
                  <c:v>18.640401163043414</c:v>
                </c:pt>
                <c:pt idx="2">
                  <c:v>17.733786494601173</c:v>
                </c:pt>
                <c:pt idx="3">
                  <c:v>14.699483466531492</c:v>
                </c:pt>
                <c:pt idx="4">
                  <c:v>13.046996514522071</c:v>
                </c:pt>
                <c:pt idx="5">
                  <c:v>17.71479001277299</c:v>
                </c:pt>
                <c:pt idx="6">
                  <c:v>22.351296013174554</c:v>
                </c:pt>
                <c:pt idx="7">
                  <c:v>23.355903987534511</c:v>
                </c:pt>
                <c:pt idx="8">
                  <c:v>24.584257332057259</c:v>
                </c:pt>
                <c:pt idx="9">
                  <c:v>25.649845211970266</c:v>
                </c:pt>
                <c:pt idx="10">
                  <c:v>25.126047910232359</c:v>
                </c:pt>
                <c:pt idx="11">
                  <c:v>24.861856342746712</c:v>
                </c:pt>
                <c:pt idx="12">
                  <c:v>25.168697316264215</c:v>
                </c:pt>
                <c:pt idx="13">
                  <c:v>22.994701773494409</c:v>
                </c:pt>
                <c:pt idx="14">
                  <c:v>20.017091768414694</c:v>
                </c:pt>
                <c:pt idx="15">
                  <c:v>19.218713023777696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1-054A-915C-0E4C78EC1551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(Dnt)'!$G$37:$G$52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1-054A-915C-0E4C78EC1551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(Dnt)'!$I$37:$I$52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1-054A-915C-0E4C78EC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14837219590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Cocina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9637209604994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Cocina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(Dnt)'!$F$66:$F$81</c:f>
              <c:numCache>
                <c:formatCode>0.0</c:formatCode>
                <c:ptCount val="16"/>
                <c:pt idx="0">
                  <c:v>27.023967352767983</c:v>
                </c:pt>
                <c:pt idx="1">
                  <c:v>23.837849455102706</c:v>
                </c:pt>
                <c:pt idx="2">
                  <c:v>25.136503530562312</c:v>
                </c:pt>
                <c:pt idx="3">
                  <c:v>30.606680996106185</c:v>
                </c:pt>
                <c:pt idx="4">
                  <c:v>31.739177981774741</c:v>
                </c:pt>
                <c:pt idx="5">
                  <c:v>29.699769005509737</c:v>
                </c:pt>
                <c:pt idx="6">
                  <c:v>30.036648325448901</c:v>
                </c:pt>
                <c:pt idx="7">
                  <c:v>32.516635821621506</c:v>
                </c:pt>
                <c:pt idx="8">
                  <c:v>31.285282944841338</c:v>
                </c:pt>
                <c:pt idx="9">
                  <c:v>34.476753258866147</c:v>
                </c:pt>
                <c:pt idx="10">
                  <c:v>36.378596647403434</c:v>
                </c:pt>
                <c:pt idx="11">
                  <c:v>37.043774435851816</c:v>
                </c:pt>
                <c:pt idx="12">
                  <c:v>37.93283232789063</c:v>
                </c:pt>
                <c:pt idx="13">
                  <c:v>39.320963854740199</c:v>
                </c:pt>
                <c:pt idx="14">
                  <c:v>38.485020736186129</c:v>
                </c:pt>
                <c:pt idx="15">
                  <c:v>36.171945380651863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A440-AAA9-E85E06D181AA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(Dnt)'!$G$66:$G$81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F-A440-AAA9-E85E06D181AA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(Dnt)'!$I$66:$I$81</c:f>
              <c:numCache>
                <c:formatCode>General</c:formatCode>
                <c:ptCount val="16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F-A440-AAA9-E85E06D1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4147849287434106E-2"/>
          <c:h val="0.2411327482391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Salón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435493540175659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Salón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(Dnt)'!$F$95:$F$110</c:f>
              <c:numCache>
                <c:formatCode>0.0</c:formatCode>
                <c:ptCount val="16"/>
                <c:pt idx="0">
                  <c:v>32.335013655140031</c:v>
                </c:pt>
                <c:pt idx="1">
                  <c:v>26.970838459592045</c:v>
                </c:pt>
                <c:pt idx="2">
                  <c:v>30.485453958461797</c:v>
                </c:pt>
                <c:pt idx="3">
                  <c:v>33.644851843759525</c:v>
                </c:pt>
                <c:pt idx="4">
                  <c:v>32.245895907234747</c:v>
                </c:pt>
                <c:pt idx="5">
                  <c:v>30.683073883416686</c:v>
                </c:pt>
                <c:pt idx="6">
                  <c:v>33.606805490393349</c:v>
                </c:pt>
                <c:pt idx="7">
                  <c:v>32.612856224844109</c:v>
                </c:pt>
                <c:pt idx="8">
                  <c:v>34.372118888358045</c:v>
                </c:pt>
                <c:pt idx="9">
                  <c:v>36.125690345779191</c:v>
                </c:pt>
                <c:pt idx="10">
                  <c:v>38.777223554605101</c:v>
                </c:pt>
                <c:pt idx="11">
                  <c:v>41.148200563599858</c:v>
                </c:pt>
                <c:pt idx="12">
                  <c:v>42.035133723538969</c:v>
                </c:pt>
                <c:pt idx="13">
                  <c:v>44.091156176694</c:v>
                </c:pt>
                <c:pt idx="14">
                  <c:v>43.513526351473516</c:v>
                </c:pt>
                <c:pt idx="15">
                  <c:v>40.548330513330122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A-EA46-84CD-2AD9D62D154E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(Dnt)'!$G$8:$G$23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A-EA46-84CD-2AD9D62D154E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(Dnt)'!$I$95:$I$110</c:f>
              <c:numCache>
                <c:formatCode>0</c:formatCode>
                <c:ptCount val="16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A-EA46-84CD-2AD9D62D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47116282627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Habitación Inferior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229638887986141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Inf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(Dnt)'!$F$125:$F$140</c:f>
              <c:numCache>
                <c:formatCode>0.0</c:formatCode>
                <c:ptCount val="16"/>
                <c:pt idx="0">
                  <c:v>37.754545606961109</c:v>
                </c:pt>
                <c:pt idx="1">
                  <c:v>41.090524220378029</c:v>
                </c:pt>
                <c:pt idx="2">
                  <c:v>48.639659881118845</c:v>
                </c:pt>
                <c:pt idx="3">
                  <c:v>51.861045613517931</c:v>
                </c:pt>
                <c:pt idx="4">
                  <c:v>55.671839255858927</c:v>
                </c:pt>
                <c:pt idx="5">
                  <c:v>54.202271825718924</c:v>
                </c:pt>
                <c:pt idx="6">
                  <c:v>56.902341465498083</c:v>
                </c:pt>
                <c:pt idx="7">
                  <c:v>58.19895069017312</c:v>
                </c:pt>
                <c:pt idx="8">
                  <c:v>61.862323188083678</c:v>
                </c:pt>
                <c:pt idx="9">
                  <c:v>66.508858050874736</c:v>
                </c:pt>
                <c:pt idx="10">
                  <c:v>66.276920208105309</c:v>
                </c:pt>
                <c:pt idx="11">
                  <c:v>68.042441045897817</c:v>
                </c:pt>
                <c:pt idx="12">
                  <c:v>67.669948160461331</c:v>
                </c:pt>
                <c:pt idx="13">
                  <c:v>67.972769034075327</c:v>
                </c:pt>
                <c:pt idx="14">
                  <c:v>67.324080447670099</c:v>
                </c:pt>
                <c:pt idx="15">
                  <c:v>63.269410502587277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7-BF47-90B9-61CCBD36B56C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(Dnt)'!$G$125:$G$140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7-BF47-90B9-61CCBD36B56C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(Dnt)'!$I$125:$I$140</c:f>
              <c:numCache>
                <c:formatCode>General</c:formatCode>
                <c:ptCount val="16"/>
                <c:pt idx="0">
                  <c:v>41</c:v>
                </c:pt>
                <c:pt idx="1">
                  <c:v>44</c:v>
                </c:pt>
                <c:pt idx="2">
                  <c:v>47</c:v>
                </c:pt>
                <c:pt idx="3">
                  <c:v>50</c:v>
                </c:pt>
                <c:pt idx="4">
                  <c:v>53</c:v>
                </c:pt>
                <c:pt idx="5">
                  <c:v>56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7-BF47-90B9-61CCBD36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9520889816979773E-2"/>
          <c:h val="0.2183703901413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Habitación superior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9849264198012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sup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(Dnt)'!$F$8:$F$23</c:f>
              <c:numCache>
                <c:formatCode>0.0</c:formatCode>
                <c:ptCount val="16"/>
                <c:pt idx="0">
                  <c:v>37.715318710513287</c:v>
                </c:pt>
                <c:pt idx="1">
                  <c:v>33.262098260255229</c:v>
                </c:pt>
                <c:pt idx="2">
                  <c:v>37.467791740906129</c:v>
                </c:pt>
                <c:pt idx="3">
                  <c:v>39.333397144955235</c:v>
                </c:pt>
                <c:pt idx="4">
                  <c:v>42.22590858928249</c:v>
                </c:pt>
                <c:pt idx="5">
                  <c:v>40.117045332687944</c:v>
                </c:pt>
                <c:pt idx="6">
                  <c:v>41.019088285325552</c:v>
                </c:pt>
                <c:pt idx="7">
                  <c:v>42.618770208198114</c:v>
                </c:pt>
                <c:pt idx="8">
                  <c:v>47.658012440402366</c:v>
                </c:pt>
                <c:pt idx="9">
                  <c:v>49.833091826748557</c:v>
                </c:pt>
                <c:pt idx="10">
                  <c:v>51.678129741673935</c:v>
                </c:pt>
                <c:pt idx="11">
                  <c:v>50.151931185230943</c:v>
                </c:pt>
                <c:pt idx="12">
                  <c:v>51.101832664252655</c:v>
                </c:pt>
                <c:pt idx="13">
                  <c:v>50.37165674484207</c:v>
                </c:pt>
                <c:pt idx="14">
                  <c:v>45.733255794451793</c:v>
                </c:pt>
                <c:pt idx="15">
                  <c:v>41.415012178196434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0-C441-B8BE-7EDB6ADBAB8E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(Dnt)'!$G$37:$G$52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0-C441-B8BE-7EDB6ADBAB8E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Alta Frec (Dnt)'!$I$8:$I$23</c:f>
              <c:numCache>
                <c:formatCode>General</c:formatCode>
                <c:ptCount val="16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0-C441-B8BE-7EDB6ADB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14837219590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Niveles en Baja</a:t>
            </a:r>
            <a:r>
              <a:rPr lang="es-ES_tradnl" baseline="0"/>
              <a:t> Frecuencia por P</a:t>
            </a:r>
            <a:r>
              <a:rPr lang="es-ES_tradnl"/>
              <a:t>osición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0722736051209576"/>
          <c:h val="0.78841387206931512"/>
        </c:manualLayout>
      </c:layout>
      <c:scatterChart>
        <c:scatterStyle val="lineMarker"/>
        <c:varyColors val="0"/>
        <c:ser>
          <c:idx val="8"/>
          <c:order val="0"/>
          <c:tx>
            <c:v>L1,LF Hab Sup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Frec'!$H$5:$H$7</c:f>
              <c:numCache>
                <c:formatCode>0.0</c:formatCode>
                <c:ptCount val="3"/>
                <c:pt idx="0">
                  <c:v>63.857518375908377</c:v>
                </c:pt>
                <c:pt idx="1">
                  <c:v>60.413206260264793</c:v>
                </c:pt>
                <c:pt idx="2">
                  <c:v>66.645237036778468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E-C24C-9498-E96A41FA71AD}"/>
            </c:ext>
          </c:extLst>
        </c:ser>
        <c:ser>
          <c:idx val="9"/>
          <c:order val="1"/>
          <c:tx>
            <c:v>L2,LF Hab Sup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Frec'!$P$5:$P$7</c:f>
              <c:numCache>
                <c:formatCode>0.0</c:formatCode>
                <c:ptCount val="3"/>
                <c:pt idx="0">
                  <c:v>60.365043943658783</c:v>
                </c:pt>
                <c:pt idx="1">
                  <c:v>66.945173196122752</c:v>
                </c:pt>
                <c:pt idx="2">
                  <c:v>62.963739769611507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E-C24C-9498-E96A41FA71AD}"/>
            </c:ext>
          </c:extLst>
        </c:ser>
        <c:ser>
          <c:idx val="10"/>
          <c:order val="2"/>
          <c:tx>
            <c:v>L1,LF Escaleras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Frec'!$H$12:$H$14</c:f>
              <c:numCache>
                <c:formatCode>0.0</c:formatCode>
                <c:ptCount val="3"/>
                <c:pt idx="0">
                  <c:v>75.393552549721861</c:v>
                </c:pt>
                <c:pt idx="1">
                  <c:v>74.548103037305154</c:v>
                </c:pt>
                <c:pt idx="2">
                  <c:v>89.539981204221448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E-C24C-9498-E96A41FA71AD}"/>
            </c:ext>
          </c:extLst>
        </c:ser>
        <c:ser>
          <c:idx val="11"/>
          <c:order val="3"/>
          <c:tx>
            <c:v>L2,LF Escaleras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Frec'!$P$12:$P$14</c:f>
              <c:numCache>
                <c:formatCode>0.0</c:formatCode>
                <c:ptCount val="3"/>
                <c:pt idx="0">
                  <c:v>73.807841996636412</c:v>
                </c:pt>
                <c:pt idx="1">
                  <c:v>67.422541481847077</c:v>
                </c:pt>
                <c:pt idx="2">
                  <c:v>81.496703868446261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E-C24C-9498-E96A41FA71AD}"/>
            </c:ext>
          </c:extLst>
        </c:ser>
        <c:ser>
          <c:idx val="0"/>
          <c:order val="4"/>
          <c:tx>
            <c:v>L1,LF Cocina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Frec'!$H$19:$H$21</c:f>
              <c:numCache>
                <c:formatCode>0.0</c:formatCode>
                <c:ptCount val="3"/>
                <c:pt idx="0">
                  <c:v>67.417951298951678</c:v>
                </c:pt>
                <c:pt idx="1">
                  <c:v>66.78880884746016</c:v>
                </c:pt>
                <c:pt idx="2">
                  <c:v>69.875338498053821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2E-C24C-9498-E96A41FA71AD}"/>
            </c:ext>
          </c:extLst>
        </c:ser>
        <c:ser>
          <c:idx val="1"/>
          <c:order val="5"/>
          <c:tx>
            <c:v>L2,LF Cocina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Frec'!$P$19:$P$21</c:f>
              <c:numCache>
                <c:formatCode>0.0</c:formatCode>
                <c:ptCount val="3"/>
                <c:pt idx="0">
                  <c:v>69.385432161328438</c:v>
                </c:pt>
                <c:pt idx="1">
                  <c:v>65.901454878003904</c:v>
                </c:pt>
                <c:pt idx="2">
                  <c:v>65.278266582904294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2E-C24C-9498-E96A41FA71AD}"/>
            </c:ext>
          </c:extLst>
        </c:ser>
        <c:ser>
          <c:idx val="2"/>
          <c:order val="6"/>
          <c:tx>
            <c:v>L1,LF Salón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Frec'!$H$26:$H$28</c:f>
              <c:numCache>
                <c:formatCode>0.0</c:formatCode>
                <c:ptCount val="3"/>
                <c:pt idx="0">
                  <c:v>62.185416690603134</c:v>
                </c:pt>
                <c:pt idx="1">
                  <c:v>70.660645048225675</c:v>
                </c:pt>
                <c:pt idx="2">
                  <c:v>69.906358256061793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2E-C24C-9498-E96A41FA71AD}"/>
            </c:ext>
          </c:extLst>
        </c:ser>
        <c:ser>
          <c:idx val="3"/>
          <c:order val="7"/>
          <c:tx>
            <c:v>L2,LF Salón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Frec'!$P$26:$P$28</c:f>
              <c:numCache>
                <c:formatCode>0.0</c:formatCode>
                <c:ptCount val="3"/>
                <c:pt idx="0">
                  <c:v>62.784982248809357</c:v>
                </c:pt>
                <c:pt idx="1">
                  <c:v>63.374276233575671</c:v>
                </c:pt>
                <c:pt idx="2">
                  <c:v>70.502081260792878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2E-C24C-9498-E96A41FA71AD}"/>
            </c:ext>
          </c:extLst>
        </c:ser>
        <c:ser>
          <c:idx val="4"/>
          <c:order val="8"/>
          <c:tx>
            <c:v>L1,LF Hab Inf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Frec'!$H$33:$H$35</c:f>
              <c:numCache>
                <c:formatCode>0.0</c:formatCode>
                <c:ptCount val="3"/>
                <c:pt idx="0">
                  <c:v>53.026144078100131</c:v>
                </c:pt>
                <c:pt idx="1">
                  <c:v>41.794596953326753</c:v>
                </c:pt>
                <c:pt idx="2">
                  <c:v>50.913544882306809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2E-C24C-9498-E96A41FA71AD}"/>
            </c:ext>
          </c:extLst>
        </c:ser>
        <c:ser>
          <c:idx val="5"/>
          <c:order val="9"/>
          <c:tx>
            <c:v>L2,LF Hab Inf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'1º Baja Frec'!$P$33:$P$35</c:f>
              <c:numCache>
                <c:formatCode>0.0</c:formatCode>
                <c:ptCount val="3"/>
                <c:pt idx="0">
                  <c:v>52.390220170457134</c:v>
                </c:pt>
                <c:pt idx="1">
                  <c:v>47.857871230641777</c:v>
                </c:pt>
                <c:pt idx="2">
                  <c:v>52.088408739988175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2E-C24C-9498-E96A41FA71AD}"/>
            </c:ext>
          </c:extLst>
        </c:ser>
        <c:ser>
          <c:idx val="12"/>
          <c:order val="10"/>
          <c:tx>
            <c:v>RF1 Hab Sup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Datos!$D$139:$D$141</c:f>
              <c:numCache>
                <c:formatCode>0.0</c:formatCode>
                <c:ptCount val="3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E-C24C-9498-E96A41FA71AD}"/>
            </c:ext>
          </c:extLst>
        </c:ser>
        <c:ser>
          <c:idx val="13"/>
          <c:order val="11"/>
          <c:tx>
            <c:v>RF2 Escaleras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Datos!$E$139:$E$141</c:f>
              <c:numCache>
                <c:formatCode>0.0</c:formatCode>
                <c:ptCount val="3"/>
                <c:pt idx="0">
                  <c:v>28.254371115550903</c:v>
                </c:pt>
                <c:pt idx="1">
                  <c:v>20.958510761675626</c:v>
                </c:pt>
                <c:pt idx="2">
                  <c:v>20.581794400146041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2E-C24C-9498-E96A41FA71AD}"/>
            </c:ext>
          </c:extLst>
        </c:ser>
        <c:ser>
          <c:idx val="14"/>
          <c:order val="12"/>
          <c:tx>
            <c:v>RF3 Cocina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Datos!$F$139:$F$141</c:f>
              <c:numCache>
                <c:formatCode>0.0</c:formatCode>
                <c:ptCount val="3"/>
                <c:pt idx="0">
                  <c:v>30.472388961003034</c:v>
                </c:pt>
                <c:pt idx="1">
                  <c:v>22.267898348691833</c:v>
                </c:pt>
                <c:pt idx="2">
                  <c:v>20.676143210844369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2E-C24C-9498-E96A41FA71AD}"/>
            </c:ext>
          </c:extLst>
        </c:ser>
        <c:ser>
          <c:idx val="15"/>
          <c:order val="13"/>
          <c:tx>
            <c:v>RF4 Salón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Datos!$G$139:$G$141</c:f>
              <c:numCache>
                <c:formatCode>0.0</c:formatCode>
                <c:ptCount val="3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2E-C24C-9498-E96A41FA71AD}"/>
            </c:ext>
          </c:extLst>
        </c:ser>
        <c:ser>
          <c:idx val="6"/>
          <c:order val="14"/>
          <c:tx>
            <c:v>RF5 Hab Inf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Datos!$H$139:$H$141</c:f>
              <c:numCache>
                <c:formatCode>0.0</c:formatCode>
                <c:ptCount val="3"/>
                <c:pt idx="0">
                  <c:v>28.431945418000002</c:v>
                </c:pt>
                <c:pt idx="1">
                  <c:v>22.058936862420001</c:v>
                </c:pt>
                <c:pt idx="2">
                  <c:v>19.9661818936953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2E-C24C-9498-E96A41FA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1.9002999999999999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3383336698297326"/>
              <c:y val="0.9405487868750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1"/>
        <c:majorTickMark val="out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7442627369"/>
          <c:y val="0.30846401088930309"/>
          <c:w val="9.8062343333138888E-2"/>
          <c:h val="0.33211139301391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Niveles</a:t>
            </a:r>
            <a:r>
              <a:rPr lang="es-ES_tradnl" baseline="0"/>
              <a:t> </a:t>
            </a:r>
            <a:r>
              <a:rPr lang="es-ES_tradnl"/>
              <a:t>con Corrección de Ruido de Fondo por</a:t>
            </a:r>
            <a:r>
              <a:rPr lang="es-ES_tradnl" baseline="0"/>
              <a:t> Posiciones</a:t>
            </a:r>
            <a:r>
              <a:rPr lang="es-ES_tradn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072273605120957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L1,LF Hab Sup corregido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Frec'!$I$5:$I$7</c:f>
              <c:numCache>
                <c:formatCode>0.0</c:formatCode>
                <c:ptCount val="3"/>
                <c:pt idx="0">
                  <c:v>63.857518375908377</c:v>
                </c:pt>
                <c:pt idx="1">
                  <c:v>60.413206260264793</c:v>
                </c:pt>
                <c:pt idx="2">
                  <c:v>66.645237036778468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914D-A213-BE4374059E3F}"/>
            </c:ext>
          </c:extLst>
        </c:ser>
        <c:ser>
          <c:idx val="1"/>
          <c:order val="1"/>
          <c:tx>
            <c:v>L2, LF Hab Sup corregido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Frec'!$R$5:$R$7</c:f>
              <c:numCache>
                <c:formatCode>0.0</c:formatCode>
                <c:ptCount val="3"/>
                <c:pt idx="0">
                  <c:v>60.365043943658783</c:v>
                </c:pt>
                <c:pt idx="1">
                  <c:v>66.945173196122752</c:v>
                </c:pt>
                <c:pt idx="2">
                  <c:v>62.963739769611507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914D-A213-BE4374059E3F}"/>
            </c:ext>
          </c:extLst>
        </c:ser>
        <c:ser>
          <c:idx val="2"/>
          <c:order val="2"/>
          <c:tx>
            <c:v>L1, LF Escaleras corregido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Frec'!$I$12:$I$14</c:f>
              <c:numCache>
                <c:formatCode>0.0</c:formatCode>
                <c:ptCount val="3"/>
                <c:pt idx="0">
                  <c:v>75.393552549721861</c:v>
                </c:pt>
                <c:pt idx="1">
                  <c:v>74.548103037305154</c:v>
                </c:pt>
                <c:pt idx="2">
                  <c:v>89.539981204221448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D-914D-A213-BE4374059E3F}"/>
            </c:ext>
          </c:extLst>
        </c:ser>
        <c:ser>
          <c:idx val="3"/>
          <c:order val="3"/>
          <c:tx>
            <c:v>L2, LF Escaleras corregido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Frec'!$R$12:$R$14</c:f>
              <c:numCache>
                <c:formatCode>0.0</c:formatCode>
                <c:ptCount val="3"/>
                <c:pt idx="0">
                  <c:v>73.807841996636412</c:v>
                </c:pt>
                <c:pt idx="1">
                  <c:v>67.422541481847077</c:v>
                </c:pt>
                <c:pt idx="2">
                  <c:v>81.496703868446261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D-914D-A213-BE4374059E3F}"/>
            </c:ext>
          </c:extLst>
        </c:ser>
        <c:ser>
          <c:idx val="4"/>
          <c:order val="4"/>
          <c:tx>
            <c:v>L1, LF Cocina corregido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Frec'!$I$19:$I$21</c:f>
              <c:numCache>
                <c:formatCode>0.0</c:formatCode>
                <c:ptCount val="3"/>
                <c:pt idx="0">
                  <c:v>67.417951298951678</c:v>
                </c:pt>
                <c:pt idx="1">
                  <c:v>66.78880884746016</c:v>
                </c:pt>
                <c:pt idx="2">
                  <c:v>69.875338498053821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D-914D-A213-BE4374059E3F}"/>
            </c:ext>
          </c:extLst>
        </c:ser>
        <c:ser>
          <c:idx val="5"/>
          <c:order val="5"/>
          <c:tx>
            <c:v>L2, LF Cocina corregido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Frec'!$R$19:$R$21</c:f>
              <c:numCache>
                <c:formatCode>0.0</c:formatCode>
                <c:ptCount val="3"/>
                <c:pt idx="0">
                  <c:v>69.385432161328438</c:v>
                </c:pt>
                <c:pt idx="1">
                  <c:v>65.901454878003904</c:v>
                </c:pt>
                <c:pt idx="2">
                  <c:v>65.278266582904294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3D-914D-A213-BE4374059E3F}"/>
            </c:ext>
          </c:extLst>
        </c:ser>
        <c:ser>
          <c:idx val="6"/>
          <c:order val="6"/>
          <c:tx>
            <c:v>L1, LF Salón corregido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Frec'!$I$26:$I$28</c:f>
              <c:numCache>
                <c:formatCode>0.0</c:formatCode>
                <c:ptCount val="3"/>
                <c:pt idx="0">
                  <c:v>62.185416690603134</c:v>
                </c:pt>
                <c:pt idx="1">
                  <c:v>70.660645048225675</c:v>
                </c:pt>
                <c:pt idx="2">
                  <c:v>69.906358256061793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3D-914D-A213-BE4374059E3F}"/>
            </c:ext>
          </c:extLst>
        </c:ser>
        <c:ser>
          <c:idx val="7"/>
          <c:order val="7"/>
          <c:tx>
            <c:v>L2, LF Salón corregido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Frec'!$R$26:$R$28</c:f>
              <c:numCache>
                <c:formatCode>0.0</c:formatCode>
                <c:ptCount val="3"/>
                <c:pt idx="0">
                  <c:v>62.784982248809357</c:v>
                </c:pt>
                <c:pt idx="1">
                  <c:v>63.374276233575671</c:v>
                </c:pt>
                <c:pt idx="2">
                  <c:v>70.502081260792878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3D-914D-A213-BE4374059E3F}"/>
            </c:ext>
          </c:extLst>
        </c:ser>
        <c:ser>
          <c:idx val="8"/>
          <c:order val="8"/>
          <c:tx>
            <c:v>L1, LF Hab Inf corregido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Frec'!$I$33:$I$35</c:f>
              <c:numCache>
                <c:formatCode>0.0</c:formatCode>
                <c:ptCount val="3"/>
                <c:pt idx="0">
                  <c:v>53.026144078100131</c:v>
                </c:pt>
                <c:pt idx="1">
                  <c:v>41.794596953326753</c:v>
                </c:pt>
                <c:pt idx="2">
                  <c:v>50.913544882306809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3D-914D-A213-BE4374059E3F}"/>
            </c:ext>
          </c:extLst>
        </c:ser>
        <c:ser>
          <c:idx val="9"/>
          <c:order val="9"/>
          <c:tx>
            <c:v>L2, LF Hab Inf corregido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'2º Baja Frec'!$A$5:$A$7</c:f>
              <c:numCache>
                <c:formatCode>0.0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'2º Baja Frec'!$R$33:$R$35</c:f>
              <c:numCache>
                <c:formatCode>0.0</c:formatCode>
                <c:ptCount val="3"/>
                <c:pt idx="0">
                  <c:v>52.390220170457134</c:v>
                </c:pt>
                <c:pt idx="1">
                  <c:v>47.857871230641777</c:v>
                </c:pt>
                <c:pt idx="2">
                  <c:v>52.088408739988175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3D-914D-A213-BE437405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1.9002999999999999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2896384169084134"/>
              <c:y val="0.93294705191055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1"/>
        <c:majorTickMark val="out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3.7383701557695791E-2"/>
          <c:w val="0.11518004714534118"/>
          <c:h val="0.92249909714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600"/>
              <a:t>Nivel de presión acústica normalizado DnT</a:t>
            </a:r>
            <a:r>
              <a:rPr lang="es-ES_tradnl" sz="1600" baseline="0"/>
              <a:t> e índice de reducción aparente R'</a:t>
            </a:r>
            <a:endParaRPr lang="es-ES_tradnl" sz="1600"/>
          </a:p>
        </c:rich>
      </c:tx>
      <c:layout>
        <c:manualLayout>
          <c:xMode val="edge"/>
          <c:yMode val="edge"/>
          <c:x val="0.25356220870515334"/>
          <c:y val="2.8294843061069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072273605120957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H. Sup DnT1,LF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Frec'!$H$5:$H$7</c:f>
              <c:numCache>
                <c:formatCode>0.0</c:formatCode>
                <c:ptCount val="3"/>
                <c:pt idx="0">
                  <c:v>22.390971305153638</c:v>
                </c:pt>
                <c:pt idx="1">
                  <c:v>28.150709348625355</c:v>
                </c:pt>
                <c:pt idx="2">
                  <c:v>24.540584006598781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A-1645-8911-CCECA1BCB536}"/>
            </c:ext>
          </c:extLst>
        </c:ser>
        <c:ser>
          <c:idx val="10"/>
          <c:order val="1"/>
          <c:tx>
            <c:v>H.Sup R'1,LF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Frec'!$A$12:$A$14</c:f>
              <c:numCache>
                <c:formatCode>General</c:formatCode>
                <c:ptCount val="3"/>
              </c:numCache>
            </c:numRef>
          </c:xVal>
          <c:yVal>
            <c:numRef>
              <c:f>'3º Baja Frec'!$J$12:$J$14</c:f>
              <c:numCache>
                <c:formatCode>0.0</c:formatCode>
                <c:ptCount val="3"/>
                <c:pt idx="0">
                  <c:v>9.2713122103876557</c:v>
                </c:pt>
                <c:pt idx="1">
                  <c:v>12.432187650632498</c:v>
                </c:pt>
                <c:pt idx="2">
                  <c:v>6.2214918203304714E-2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F-CA47-87B7-92EA3A64EB73}"/>
            </c:ext>
          </c:extLst>
        </c:ser>
        <c:ser>
          <c:idx val="1"/>
          <c:order val="2"/>
          <c:tx>
            <c:v>H. Sup DnT2,LF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F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Frec'!$R$5:$R$7</c:f>
              <c:numCache>
                <c:formatCode>0.0</c:formatCode>
                <c:ptCount val="3"/>
                <c:pt idx="0">
                  <c:v>25.782640905679653</c:v>
                </c:pt>
                <c:pt idx="1">
                  <c:v>18.234206336814715</c:v>
                </c:pt>
                <c:pt idx="2">
                  <c:v>29.519417949079756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A-1645-8911-CCECA1BCB536}"/>
            </c:ext>
          </c:extLst>
        </c:ser>
        <c:ser>
          <c:idx val="11"/>
          <c:order val="3"/>
          <c:tx>
            <c:v>H.Sup R'2,LF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Frec'!$T$5:$T$7</c:f>
              <c:numCache>
                <c:formatCode>0.0</c:formatCode>
                <c:ptCount val="3"/>
                <c:pt idx="0">
                  <c:v>26.751741035760215</c:v>
                </c:pt>
                <c:pt idx="1">
                  <c:v>19.203306466895278</c:v>
                </c:pt>
                <c:pt idx="2">
                  <c:v>30.488518079160318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F-CA47-87B7-92EA3A64EB73}"/>
            </c:ext>
          </c:extLst>
        </c:ser>
        <c:ser>
          <c:idx val="2"/>
          <c:order val="4"/>
          <c:tx>
            <c:v>Escaleras Dn1T,LF</c:v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Frec'!$H$12:$H$14</c:f>
              <c:numCache>
                <c:formatCode>0.0</c:formatCode>
                <c:ptCount val="3"/>
                <c:pt idx="0">
                  <c:v>10.854937131340154</c:v>
                </c:pt>
                <c:pt idx="1">
                  <c:v>14.015812571584995</c:v>
                </c:pt>
                <c:pt idx="2">
                  <c:v>1.6458398391558016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A-1645-8911-CCECA1BCB536}"/>
            </c:ext>
          </c:extLst>
        </c:ser>
        <c:ser>
          <c:idx val="12"/>
          <c:order val="5"/>
          <c:tx>
            <c:v>Escaleras R'1,LF</c:v>
          </c:tx>
          <c:spPr>
            <a:ln w="22225" cap="rnd">
              <a:solidFill>
                <a:schemeClr val="accent4">
                  <a:lumMod val="75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Frec'!$J$12:$J$14</c:f>
              <c:numCache>
                <c:formatCode>0.0</c:formatCode>
                <c:ptCount val="3"/>
                <c:pt idx="0">
                  <c:v>9.2713122103876557</c:v>
                </c:pt>
                <c:pt idx="1">
                  <c:v>12.432187650632498</c:v>
                </c:pt>
                <c:pt idx="2">
                  <c:v>6.2214918203304714E-2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F-CA47-87B7-92EA3A64EB73}"/>
            </c:ext>
          </c:extLst>
        </c:ser>
        <c:ser>
          <c:idx val="3"/>
          <c:order val="6"/>
          <c:tx>
            <c:v>Escaleras DnT2,LF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Frec'!$R$12:$R$14</c:f>
              <c:numCache>
                <c:formatCode>0.0</c:formatCode>
                <c:ptCount val="3"/>
                <c:pt idx="0">
                  <c:v>12.339842852702024</c:v>
                </c:pt>
                <c:pt idx="1">
                  <c:v>17.756838051090391</c:v>
                </c:pt>
                <c:pt idx="2">
                  <c:v>10.986453850245002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A-1645-8911-CCECA1BCB536}"/>
            </c:ext>
          </c:extLst>
        </c:ser>
        <c:ser>
          <c:idx val="13"/>
          <c:order val="7"/>
          <c:tx>
            <c:v>Escaleras R'2,LF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Frec'!$T$12:$T$14</c:f>
              <c:numCache>
                <c:formatCode>0.0</c:formatCode>
                <c:ptCount val="3"/>
                <c:pt idx="0">
                  <c:v>10.756217931749525</c:v>
                </c:pt>
                <c:pt idx="1">
                  <c:v>16.173213130137896</c:v>
                </c:pt>
                <c:pt idx="2">
                  <c:v>9.4028289292925056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F-CA47-87B7-92EA3A64EB73}"/>
            </c:ext>
          </c:extLst>
        </c:ser>
        <c:ser>
          <c:idx val="5"/>
          <c:order val="8"/>
          <c:tx>
            <c:v>Cocina DnT1,LF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Frec'!$H$19:$H$21</c:f>
              <c:numCache>
                <c:formatCode>0.0</c:formatCode>
                <c:ptCount val="3"/>
                <c:pt idx="0">
                  <c:v>18.830538382110337</c:v>
                </c:pt>
                <c:pt idx="1">
                  <c:v>21.775106761429988</c:v>
                </c:pt>
                <c:pt idx="2">
                  <c:v>21.310482545323428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8-DB46-85A6-046998A19FC7}"/>
            </c:ext>
          </c:extLst>
        </c:ser>
        <c:ser>
          <c:idx val="14"/>
          <c:order val="9"/>
          <c:tx>
            <c:v>Cocina R'1,LF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Frec'!$J$19:$J$21</c:f>
              <c:numCache>
                <c:formatCode>0.0</c:formatCode>
                <c:ptCount val="3"/>
                <c:pt idx="0">
                  <c:v>20.598405249283662</c:v>
                </c:pt>
                <c:pt idx="1">
                  <c:v>23.542973628603313</c:v>
                </c:pt>
                <c:pt idx="2">
                  <c:v>23.078349412496753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0F-CA47-87B7-92EA3A64EB73}"/>
            </c:ext>
          </c:extLst>
        </c:ser>
        <c:ser>
          <c:idx val="7"/>
          <c:order val="10"/>
          <c:tx>
            <c:v>Cocina DnT2,LF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Frec'!$R$19:$R$21</c:f>
              <c:numCache>
                <c:formatCode>0.0</c:formatCode>
                <c:ptCount val="3"/>
                <c:pt idx="0">
                  <c:v>16.762252688009998</c:v>
                </c:pt>
                <c:pt idx="1">
                  <c:v>19.277924654933564</c:v>
                </c:pt>
                <c:pt idx="2">
                  <c:v>27.204891135786969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8-DB46-85A6-046998A19FC7}"/>
            </c:ext>
          </c:extLst>
        </c:ser>
        <c:ser>
          <c:idx val="15"/>
          <c:order val="11"/>
          <c:tx>
            <c:v>Cocina R'2,LF</c:v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Frec'!$T$19:$T$21</c:f>
              <c:numCache>
                <c:formatCode>0.0</c:formatCode>
                <c:ptCount val="3"/>
                <c:pt idx="0">
                  <c:v>18.530119555183322</c:v>
                </c:pt>
                <c:pt idx="1">
                  <c:v>21.045791522106889</c:v>
                </c:pt>
                <c:pt idx="2">
                  <c:v>28.972758002960294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0F-CA47-87B7-92EA3A64EB73}"/>
            </c:ext>
          </c:extLst>
        </c:ser>
        <c:ser>
          <c:idx val="6"/>
          <c:order val="12"/>
          <c:tx>
            <c:v>Salón DnT1,LF</c:v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Frec'!$H$26:$H$28</c:f>
              <c:numCache>
                <c:formatCode>0.0</c:formatCode>
                <c:ptCount val="3"/>
                <c:pt idx="0">
                  <c:v>24.063072990458881</c:v>
                </c:pt>
                <c:pt idx="1">
                  <c:v>17.903270560664474</c:v>
                </c:pt>
                <c:pt idx="2">
                  <c:v>21.279462787315456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8-DB46-85A6-046998A19FC7}"/>
            </c:ext>
          </c:extLst>
        </c:ser>
        <c:ser>
          <c:idx val="16"/>
          <c:order val="13"/>
          <c:tx>
            <c:v>Salón R'1,LF</c:v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Frec'!$J$26:$J$28</c:f>
              <c:numCache>
                <c:formatCode>0.0</c:formatCode>
                <c:ptCount val="3"/>
                <c:pt idx="0">
                  <c:v>25.830939857632206</c:v>
                </c:pt>
                <c:pt idx="1">
                  <c:v>19.671137427837799</c:v>
                </c:pt>
                <c:pt idx="2">
                  <c:v>23.047329654488781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0F-CA47-87B7-92EA3A64EB73}"/>
            </c:ext>
          </c:extLst>
        </c:ser>
        <c:ser>
          <c:idx val="4"/>
          <c:order val="14"/>
          <c:tx>
            <c:v>Salón DnT2,LF</c:v>
          </c:tx>
          <c:spPr>
            <a:ln w="22225" cap="rnd">
              <a:solidFill>
                <a:schemeClr val="accent2">
                  <a:lumMod val="20000"/>
                  <a:lumOff val="8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Frec'!$R$26:$R$28</c:f>
              <c:numCache>
                <c:formatCode>0.0</c:formatCode>
                <c:ptCount val="3"/>
                <c:pt idx="0">
                  <c:v>23.362702600529079</c:v>
                </c:pt>
                <c:pt idx="1">
                  <c:v>21.805103299361797</c:v>
                </c:pt>
                <c:pt idx="2">
                  <c:v>21.981076457898386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DB46-85A6-046998A19FC7}"/>
            </c:ext>
          </c:extLst>
        </c:ser>
        <c:ser>
          <c:idx val="17"/>
          <c:order val="15"/>
          <c:tx>
            <c:v>Salón R'2,LF</c:v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Frec'!$T$26:$T$28</c:f>
              <c:numCache>
                <c:formatCode>0.0</c:formatCode>
                <c:ptCount val="3"/>
                <c:pt idx="0">
                  <c:v>25.130569467702404</c:v>
                </c:pt>
                <c:pt idx="1">
                  <c:v>23.572970166535121</c:v>
                </c:pt>
                <c:pt idx="2">
                  <c:v>23.748943325071711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0F-CA47-87B7-92EA3A64EB73}"/>
            </c:ext>
          </c:extLst>
        </c:ser>
        <c:ser>
          <c:idx val="8"/>
          <c:order val="16"/>
          <c:tx>
            <c:v>H.Inf DnT1,LF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Frec'!$H$33:$H$35</c:f>
              <c:numCache>
                <c:formatCode>0.0</c:formatCode>
                <c:ptCount val="3"/>
                <c:pt idx="0">
                  <c:v>33.22234560296188</c:v>
                </c:pt>
                <c:pt idx="1">
                  <c:v>46.769318655563396</c:v>
                </c:pt>
                <c:pt idx="2">
                  <c:v>40.272276161070444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8-DB46-85A6-046998A19FC7}"/>
            </c:ext>
          </c:extLst>
        </c:ser>
        <c:ser>
          <c:idx val="18"/>
          <c:order val="17"/>
          <c:tx>
            <c:v>H.Inf R'1,LF</c:v>
          </c:tx>
          <c:spPr>
            <a:ln w="22225" cap="rnd">
              <a:solidFill>
                <a:srgbClr val="FF7676"/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solidFill>
                  <a:srgbClr val="FF7676"/>
                </a:solidFill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Frec'!$J$33:$J$35</c:f>
              <c:numCache>
                <c:formatCode>0.0</c:formatCode>
                <c:ptCount val="3"/>
                <c:pt idx="0">
                  <c:v>34.191445733042443</c:v>
                </c:pt>
                <c:pt idx="1">
                  <c:v>47.738418785643958</c:v>
                </c:pt>
                <c:pt idx="2">
                  <c:v>41.241376291151006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0F-CA47-87B7-92EA3A64EB73}"/>
            </c:ext>
          </c:extLst>
        </c:ser>
        <c:ser>
          <c:idx val="9"/>
          <c:order val="18"/>
          <c:tx>
            <c:v>H.Inf DnT2,LF</c:v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Frec'!$R$33:$R$35</c:f>
              <c:numCache>
                <c:formatCode>0.0</c:formatCode>
                <c:ptCount val="3"/>
                <c:pt idx="0">
                  <c:v>33.757464678881298</c:v>
                </c:pt>
                <c:pt idx="1">
                  <c:v>37.32150830229569</c:v>
                </c:pt>
                <c:pt idx="2">
                  <c:v>40.394748978703092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B8-DB46-85A6-046998A19FC7}"/>
            </c:ext>
          </c:extLst>
        </c:ser>
        <c:ser>
          <c:idx val="19"/>
          <c:order val="19"/>
          <c:tx>
            <c:v>H.Inf R'2,LF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'3º Baja Frec'!$A$5:$A$7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'3º Baja Frec'!$T$33:$T$35</c:f>
              <c:numCache>
                <c:formatCode>0.0</c:formatCode>
                <c:ptCount val="3"/>
                <c:pt idx="0">
                  <c:v>34.726564808961868</c:v>
                </c:pt>
                <c:pt idx="1">
                  <c:v>38.290608432376253</c:v>
                </c:pt>
                <c:pt idx="2">
                  <c:v>41.363849108783654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0F-CA47-87B7-92EA3A64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1.9002999999999999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/>
                  <a:t>Frecuencia</a:t>
                </a:r>
                <a:r>
                  <a:rPr lang="es-ES_tradnl" sz="1000" baseline="0"/>
                  <a:t> (Hz)</a:t>
                </a:r>
                <a:endParaRPr lang="es-ES_tradnl" sz="1000"/>
              </a:p>
            </c:rich>
          </c:tx>
          <c:layout>
            <c:manualLayout>
              <c:xMode val="edge"/>
              <c:yMode val="edge"/>
              <c:x val="0.44009519763498872"/>
              <c:y val="0.92914826193191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/>
                  <a:t>Nivel de 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994482054216"/>
          <c:y val="0.1159369789610309"/>
          <c:w val="8.787749342558214E-2"/>
          <c:h val="0.72873590585194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Cocinas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Frec'!$G$58:$G$78</c:f>
              <c:numCache>
                <c:formatCode>0.00</c:formatCode>
                <c:ptCount val="21"/>
                <c:pt idx="0">
                  <c:v>60.454596969046769</c:v>
                </c:pt>
                <c:pt idx="1">
                  <c:v>57.178671614299226</c:v>
                </c:pt>
                <c:pt idx="2">
                  <c:v>63.637904688255077</c:v>
                </c:pt>
                <c:pt idx="3">
                  <c:v>59.276321550564106</c:v>
                </c:pt>
                <c:pt idx="4">
                  <c:v>63.671470255972409</c:v>
                </c:pt>
                <c:pt idx="5">
                  <c:v>66.88263516484183</c:v>
                </c:pt>
                <c:pt idx="6">
                  <c:v>68.721514679498497</c:v>
                </c:pt>
                <c:pt idx="7">
                  <c:v>69.290923700448829</c:v>
                </c:pt>
                <c:pt idx="8">
                  <c:v>70.026928123180952</c:v>
                </c:pt>
                <c:pt idx="9">
                  <c:v>71.263737343356439</c:v>
                </c:pt>
                <c:pt idx="10">
                  <c:v>67.826903024117527</c:v>
                </c:pt>
                <c:pt idx="11">
                  <c:v>66.260528099682134</c:v>
                </c:pt>
                <c:pt idx="12">
                  <c:v>62.202716827392578</c:v>
                </c:pt>
                <c:pt idx="13">
                  <c:v>60.980210680545994</c:v>
                </c:pt>
                <c:pt idx="14">
                  <c:v>57.476890567540003</c:v>
                </c:pt>
                <c:pt idx="15">
                  <c:v>56.476323818646534</c:v>
                </c:pt>
                <c:pt idx="16">
                  <c:v>53.230134021934219</c:v>
                </c:pt>
                <c:pt idx="17">
                  <c:v>55.340427956406828</c:v>
                </c:pt>
                <c:pt idx="18">
                  <c:v>55.833012803425383</c:v>
                </c:pt>
                <c:pt idx="19">
                  <c:v>50.591083605264878</c:v>
                </c:pt>
                <c:pt idx="20">
                  <c:v>45.35254910512851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8-6A48-8142-8E64459E32BF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Frec'!$H$58:$H$78</c:f>
              <c:numCache>
                <c:formatCode>0.00</c:formatCode>
                <c:ptCount val="21"/>
                <c:pt idx="0">
                  <c:v>50.128165698207866</c:v>
                </c:pt>
                <c:pt idx="1">
                  <c:v>57.048753926099295</c:v>
                </c:pt>
                <c:pt idx="2">
                  <c:v>59.515997932241021</c:v>
                </c:pt>
                <c:pt idx="3">
                  <c:v>58.896858344037845</c:v>
                </c:pt>
                <c:pt idx="4">
                  <c:v>61.565944904016355</c:v>
                </c:pt>
                <c:pt idx="5">
                  <c:v>66.998776468922287</c:v>
                </c:pt>
                <c:pt idx="6">
                  <c:v>67.129084832889518</c:v>
                </c:pt>
                <c:pt idx="7">
                  <c:v>69.381982247407123</c:v>
                </c:pt>
                <c:pt idx="8">
                  <c:v>68.132987153787084</c:v>
                </c:pt>
                <c:pt idx="9">
                  <c:v>67.355021493727619</c:v>
                </c:pt>
                <c:pt idx="10">
                  <c:v>66.81637491728506</c:v>
                </c:pt>
                <c:pt idx="11">
                  <c:v>67.31467765943961</c:v>
                </c:pt>
                <c:pt idx="12">
                  <c:v>64.014897772834587</c:v>
                </c:pt>
                <c:pt idx="13">
                  <c:v>59.244252835017228</c:v>
                </c:pt>
                <c:pt idx="14">
                  <c:v>58.139587438095361</c:v>
                </c:pt>
                <c:pt idx="15">
                  <c:v>56.021820658261014</c:v>
                </c:pt>
                <c:pt idx="16">
                  <c:v>54.012565405433605</c:v>
                </c:pt>
                <c:pt idx="17">
                  <c:v>55.35309857169154</c:v>
                </c:pt>
                <c:pt idx="18">
                  <c:v>56.265658105995016</c:v>
                </c:pt>
                <c:pt idx="19">
                  <c:v>52.198207401179104</c:v>
                </c:pt>
                <c:pt idx="20">
                  <c:v>47.224694599698608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8-6A48-8142-8E64459E32BF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Frec'!$I$58:$I$78</c:f>
              <c:numCache>
                <c:formatCode>0.00</c:formatCode>
                <c:ptCount val="21"/>
                <c:pt idx="0">
                  <c:v>64.525906562805176</c:v>
                </c:pt>
                <c:pt idx="1">
                  <c:v>57.59099417719348</c:v>
                </c:pt>
                <c:pt idx="2">
                  <c:v>64.093276816766377</c:v>
                </c:pt>
                <c:pt idx="3">
                  <c:v>63.598545564088788</c:v>
                </c:pt>
                <c:pt idx="4">
                  <c:v>61.820474321358049</c:v>
                </c:pt>
                <c:pt idx="5">
                  <c:v>70.737569355873319</c:v>
                </c:pt>
                <c:pt idx="6">
                  <c:v>63.285895877414276</c:v>
                </c:pt>
                <c:pt idx="7">
                  <c:v>67.517353741145229</c:v>
                </c:pt>
                <c:pt idx="8">
                  <c:v>66.810601797140421</c:v>
                </c:pt>
                <c:pt idx="9">
                  <c:v>67.241723926588037</c:v>
                </c:pt>
                <c:pt idx="10">
                  <c:v>63.808863197706671</c:v>
                </c:pt>
                <c:pt idx="11">
                  <c:v>66.415926158656561</c:v>
                </c:pt>
                <c:pt idx="12">
                  <c:v>62.565678048407896</c:v>
                </c:pt>
                <c:pt idx="13">
                  <c:v>58.870434307960714</c:v>
                </c:pt>
                <c:pt idx="14">
                  <c:v>57.31594546818642</c:v>
                </c:pt>
                <c:pt idx="15">
                  <c:v>56.173593195918876</c:v>
                </c:pt>
                <c:pt idx="16">
                  <c:v>54.644164892905515</c:v>
                </c:pt>
                <c:pt idx="17">
                  <c:v>55.639511700334218</c:v>
                </c:pt>
                <c:pt idx="18">
                  <c:v>55.196876672035891</c:v>
                </c:pt>
                <c:pt idx="19">
                  <c:v>50.484623320714725</c:v>
                </c:pt>
                <c:pt idx="20">
                  <c:v>45.239385232158092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D8-6A48-8142-8E64459E32BF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Frec'!$J$58:$J$78</c:f>
              <c:numCache>
                <c:formatCode>0.00</c:formatCode>
                <c:ptCount val="21"/>
                <c:pt idx="0">
                  <c:v>65.89519756258899</c:v>
                </c:pt>
                <c:pt idx="1">
                  <c:v>58.847520606208391</c:v>
                </c:pt>
                <c:pt idx="2">
                  <c:v>60.169644363053884</c:v>
                </c:pt>
                <c:pt idx="3">
                  <c:v>54.255112309492269</c:v>
                </c:pt>
                <c:pt idx="4">
                  <c:v>58.931159430787766</c:v>
                </c:pt>
                <c:pt idx="5">
                  <c:v>67.368689773646935</c:v>
                </c:pt>
                <c:pt idx="6">
                  <c:v>65.423030955190882</c:v>
                </c:pt>
                <c:pt idx="7">
                  <c:v>71.15639316762676</c:v>
                </c:pt>
                <c:pt idx="8">
                  <c:v>68.955190483850373</c:v>
                </c:pt>
                <c:pt idx="9">
                  <c:v>68.547678794569649</c:v>
                </c:pt>
                <c:pt idx="10">
                  <c:v>66.168231643793234</c:v>
                </c:pt>
                <c:pt idx="11">
                  <c:v>65.04508521538655</c:v>
                </c:pt>
                <c:pt idx="12">
                  <c:v>61.53211601635882</c:v>
                </c:pt>
                <c:pt idx="13">
                  <c:v>59.531066188375462</c:v>
                </c:pt>
                <c:pt idx="14">
                  <c:v>57.835080973064628</c:v>
                </c:pt>
                <c:pt idx="15">
                  <c:v>55.719958105160082</c:v>
                </c:pt>
                <c:pt idx="16">
                  <c:v>54.751347603688714</c:v>
                </c:pt>
                <c:pt idx="17">
                  <c:v>57.267377230957266</c:v>
                </c:pt>
                <c:pt idx="18">
                  <c:v>57.814483387779646</c:v>
                </c:pt>
                <c:pt idx="19">
                  <c:v>53.589889497247363</c:v>
                </c:pt>
                <c:pt idx="20">
                  <c:v>48.418658158251347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D8-6A48-8142-8E64459E32BF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Frec'!$K$58:$K$78</c:f>
              <c:numCache>
                <c:formatCode>0.00</c:formatCode>
                <c:ptCount val="21"/>
                <c:pt idx="0">
                  <c:v>55.255314819848358</c:v>
                </c:pt>
                <c:pt idx="1">
                  <c:v>52.624882858190965</c:v>
                </c:pt>
                <c:pt idx="2">
                  <c:v>65.701220031994495</c:v>
                </c:pt>
                <c:pt idx="3">
                  <c:v>62.665552427519614</c:v>
                </c:pt>
                <c:pt idx="4">
                  <c:v>60.518895391208019</c:v>
                </c:pt>
                <c:pt idx="5">
                  <c:v>71.938024834020808</c:v>
                </c:pt>
                <c:pt idx="6">
                  <c:v>71.466734501852912</c:v>
                </c:pt>
                <c:pt idx="7">
                  <c:v>67.936660602911189</c:v>
                </c:pt>
                <c:pt idx="8">
                  <c:v>67.136626933937649</c:v>
                </c:pt>
                <c:pt idx="9">
                  <c:v>71.702370729019393</c:v>
                </c:pt>
                <c:pt idx="10">
                  <c:v>66.358808296829906</c:v>
                </c:pt>
                <c:pt idx="11">
                  <c:v>67.682015141444424</c:v>
                </c:pt>
                <c:pt idx="12">
                  <c:v>63.725099289595192</c:v>
                </c:pt>
                <c:pt idx="13">
                  <c:v>60.650634726481648</c:v>
                </c:pt>
                <c:pt idx="14">
                  <c:v>57.055973583192966</c:v>
                </c:pt>
                <c:pt idx="15">
                  <c:v>56.165738892199386</c:v>
                </c:pt>
                <c:pt idx="16">
                  <c:v>53.729934699499786</c:v>
                </c:pt>
                <c:pt idx="17">
                  <c:v>55.626406545069678</c:v>
                </c:pt>
                <c:pt idx="18">
                  <c:v>55.486750008454962</c:v>
                </c:pt>
                <c:pt idx="19">
                  <c:v>51.710585451837794</c:v>
                </c:pt>
                <c:pt idx="20">
                  <c:v>46.884606265310033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D8-6A48-8142-8E64459E32BF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Frec'!$C$58:$C$78</c:f>
              <c:numCache>
                <c:formatCode>0.00</c:formatCode>
                <c:ptCount val="21"/>
                <c:pt idx="0">
                  <c:v>30.472388961003034</c:v>
                </c:pt>
                <c:pt idx="1">
                  <c:v>22.267898348691833</c:v>
                </c:pt>
                <c:pt idx="2">
                  <c:v>20.676143210844369</c:v>
                </c:pt>
                <c:pt idx="3">
                  <c:v>21.030046320328751</c:v>
                </c:pt>
                <c:pt idx="4">
                  <c:v>20.736984988381497</c:v>
                </c:pt>
                <c:pt idx="5">
                  <c:v>22.40073432125012</c:v>
                </c:pt>
                <c:pt idx="6">
                  <c:v>21.568157594720653</c:v>
                </c:pt>
                <c:pt idx="7">
                  <c:v>21.298982481751899</c:v>
                </c:pt>
                <c:pt idx="8">
                  <c:v>21.225326991317296</c:v>
                </c:pt>
                <c:pt idx="9">
                  <c:v>21.294076292165961</c:v>
                </c:pt>
                <c:pt idx="10">
                  <c:v>21.8937600034036</c:v>
                </c:pt>
                <c:pt idx="11">
                  <c:v>22.332684398353166</c:v>
                </c:pt>
                <c:pt idx="12">
                  <c:v>22.657495194404696</c:v>
                </c:pt>
                <c:pt idx="13">
                  <c:v>23.237675766478016</c:v>
                </c:pt>
                <c:pt idx="14">
                  <c:v>23.947819154779246</c:v>
                </c:pt>
                <c:pt idx="15">
                  <c:v>24.566846696457059</c:v>
                </c:pt>
                <c:pt idx="16">
                  <c:v>25.430607861811573</c:v>
                </c:pt>
                <c:pt idx="17">
                  <c:v>26.375993667787188</c:v>
                </c:pt>
                <c:pt idx="18">
                  <c:v>26.94540861862065</c:v>
                </c:pt>
                <c:pt idx="19">
                  <c:v>28.007041962626744</c:v>
                </c:pt>
                <c:pt idx="20">
                  <c:v>28.928048955331935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D8-6A48-8142-8E64459E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 normalizada</a:t>
            </a:r>
            <a:r>
              <a:rPr lang="es-ES_tradnl" baseline="0"/>
              <a:t> DnT</a:t>
            </a:r>
            <a:endParaRPr lang="es-ES_tradnl"/>
          </a:p>
        </c:rich>
      </c:tx>
      <c:layout>
        <c:manualLayout>
          <c:xMode val="edge"/>
          <c:yMode val="edge"/>
          <c:x val="0.36169014601857458"/>
          <c:y val="1.6073657005878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1194740096868434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dnt'!$F$4:$F$6</c:f>
              <c:numCache>
                <c:formatCode>0.0</c:formatCode>
                <c:ptCount val="3"/>
                <c:pt idx="0">
                  <c:v>23.763797916688056</c:v>
                </c:pt>
                <c:pt idx="1">
                  <c:v>20.822922122850898</c:v>
                </c:pt>
                <c:pt idx="2">
                  <c:v>26.352478849628135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A-4D43-888B-DD6C261B21B2}"/>
            </c:ext>
          </c:extLst>
        </c:ser>
        <c:ser>
          <c:idx val="1"/>
          <c:order val="1"/>
          <c:tx>
            <c:v>Escaleras Dnt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dnt'!$L$4:$L$6</c:f>
              <c:numCache>
                <c:formatCode>0.0</c:formatCode>
                <c:ptCount val="3"/>
                <c:pt idx="0">
                  <c:v>11.534233315470061</c:v>
                </c:pt>
                <c:pt idx="1">
                  <c:v>15.495379662693821</c:v>
                </c:pt>
                <c:pt idx="2">
                  <c:v>4.1779565120114972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A-4D43-888B-DD6C261B21B2}"/>
            </c:ext>
          </c:extLst>
        </c:ser>
        <c:ser>
          <c:idx val="2"/>
          <c:order val="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dnt'!$R$4:$R$6</c:f>
              <c:numCache>
                <c:formatCode>0.0</c:formatCode>
                <c:ptCount val="3"/>
                <c:pt idx="0">
                  <c:v>17.674416651022405</c:v>
                </c:pt>
                <c:pt idx="1">
                  <c:v>20.349450938887411</c:v>
                </c:pt>
                <c:pt idx="2">
                  <c:v>23.326149066367947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A-4D43-888B-DD6C261B21B2}"/>
            </c:ext>
          </c:extLst>
        </c:ser>
        <c:ser>
          <c:idx val="3"/>
          <c:order val="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dnt'!$F$10:$F$12</c:f>
              <c:numCache>
                <c:formatCode>0.0</c:formatCode>
                <c:ptCount val="3"/>
                <c:pt idx="0">
                  <c:v>23.698784805212519</c:v>
                </c:pt>
                <c:pt idx="1">
                  <c:v>19.429986334416803</c:v>
                </c:pt>
                <c:pt idx="2">
                  <c:v>21.616116571674358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3A-4D43-888B-DD6C261B21B2}"/>
            </c:ext>
          </c:extLst>
        </c:ser>
        <c:ser>
          <c:idx val="4"/>
          <c:order val="4"/>
          <c:tx>
            <c:v>Habitación inferior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dnt'!$L$10:$L$12</c:f>
              <c:numCache>
                <c:formatCode>0.0</c:formatCode>
                <c:ptCount val="3"/>
                <c:pt idx="0">
                  <c:v>33.481668464042805</c:v>
                </c:pt>
                <c:pt idx="1">
                  <c:v>39.864678581841495</c:v>
                </c:pt>
                <c:pt idx="2">
                  <c:v>40.333080861256903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3A-4D43-888B-DD6C261B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1.9"/>
          <c:min val="1.6988883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4002564089264939"/>
              <c:y val="0.9347561402635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crossAx val="1951604128"/>
        <c:crosses val="autoZero"/>
        <c:crossBetween val="midCat"/>
        <c:majorUnit val="0.10038"/>
      </c:valAx>
      <c:valAx>
        <c:axId val="1951604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7734545167925482"/>
          <c:y val="0.36406938588505094"/>
          <c:w val="0.12179288410229713"/>
          <c:h val="0.27731488083134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Índice de reducción aparente R'</a:t>
            </a:r>
          </a:p>
        </c:rich>
      </c:tx>
      <c:layout>
        <c:manualLayout>
          <c:xMode val="edge"/>
          <c:yMode val="edge"/>
          <c:x val="0.36947838737564626"/>
          <c:y val="1.8541340828845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v>Hab Sup R'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R'!$F$4:$F$6</c:f>
              <c:numCache>
                <c:formatCode>0.0</c:formatCode>
                <c:ptCount val="3"/>
                <c:pt idx="0">
                  <c:v>24.732898046768618</c:v>
                </c:pt>
                <c:pt idx="1">
                  <c:v>21.79202225293146</c:v>
                </c:pt>
                <c:pt idx="2">
                  <c:v>27.321578979708697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3-BF4B-9CC0-6C048B35C97F}"/>
            </c:ext>
          </c:extLst>
        </c:ser>
        <c:ser>
          <c:idx val="1"/>
          <c:order val="1"/>
          <c:tx>
            <c:v>Escaleras R'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R'!$L$4:$L$6</c:f>
              <c:numCache>
                <c:formatCode>0.0</c:formatCode>
                <c:ptCount val="3"/>
                <c:pt idx="0">
                  <c:v>9.9506083945175625</c:v>
                </c:pt>
                <c:pt idx="1">
                  <c:v>13.911754741741326</c:v>
                </c:pt>
                <c:pt idx="2">
                  <c:v>2.5943315910589995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3-BF4B-9CC0-6C048B35C97F}"/>
            </c:ext>
          </c:extLst>
        </c:ser>
        <c:ser>
          <c:idx val="2"/>
          <c:order val="2"/>
          <c:tx>
            <c:v>Cocina R'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R'!$R$4:$R$6</c:f>
              <c:numCache>
                <c:formatCode>0.0</c:formatCode>
                <c:ptCount val="3"/>
                <c:pt idx="0">
                  <c:v>19.44228351819573</c:v>
                </c:pt>
                <c:pt idx="1">
                  <c:v>22.117317806060733</c:v>
                </c:pt>
                <c:pt idx="2">
                  <c:v>25.094015933541272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3-BF4B-9CC0-6C048B35C97F}"/>
            </c:ext>
          </c:extLst>
        </c:ser>
        <c:ser>
          <c:idx val="3"/>
          <c:order val="3"/>
          <c:tx>
            <c:v>Salón R'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R'!$F$10:$F$12</c:f>
              <c:numCache>
                <c:formatCode>0.0</c:formatCode>
                <c:ptCount val="3"/>
                <c:pt idx="0">
                  <c:v>25.466651672385847</c:v>
                </c:pt>
                <c:pt idx="1">
                  <c:v>21.197853201590135</c:v>
                </c:pt>
                <c:pt idx="2">
                  <c:v>23.383983438847686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3-BF4B-9CC0-6C048B35C97F}"/>
            </c:ext>
          </c:extLst>
        </c:ser>
        <c:ser>
          <c:idx val="4"/>
          <c:order val="4"/>
          <c:tx>
            <c:v>Hab Inf R'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Frec'!$E$6:$E$8</c:f>
              <c:numCache>
                <c:formatCode>General</c:formatCode>
                <c:ptCount val="3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</c:numCache>
            </c:numRef>
          </c:xVal>
          <c:yVal>
            <c:numRef>
              <c:f>'4º Baja Frec R'!$L$10:$L$12</c:f>
              <c:numCache>
                <c:formatCode>0.0</c:formatCode>
                <c:ptCount val="3"/>
                <c:pt idx="0">
                  <c:v>34.450768594123367</c:v>
                </c:pt>
                <c:pt idx="1">
                  <c:v>40.833778711922058</c:v>
                </c:pt>
                <c:pt idx="2">
                  <c:v>41.302180991337458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E3-BF4B-9CC0-6C048B35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1.9"/>
          <c:min val="1.6988883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1684658379460521"/>
              <c:y val="0.9375557256974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crossAx val="1951604128"/>
        <c:crosses val="autoZero"/>
        <c:crossBetween val="midCat"/>
        <c:majorUnit val="0.10038"/>
      </c:valAx>
      <c:valAx>
        <c:axId val="1951604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0.12179288410229713"/>
          <c:h val="0.21837816813565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(Dnt)'!$F$4:$F$24</c:f>
              <c:numCache>
                <c:formatCode>0.0</c:formatCode>
                <c:ptCount val="21"/>
                <c:pt idx="0">
                  <c:v>23.6616062648712</c:v>
                </c:pt>
                <c:pt idx="1">
                  <c:v>21.433461776950683</c:v>
                </c:pt>
                <c:pt idx="2">
                  <c:v>26.751193970005058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9-7646-8FB6-6A96F46AB9B4}"/>
            </c:ext>
          </c:extLst>
        </c:ser>
        <c:ser>
          <c:idx val="11"/>
          <c:order val="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(Dnt)'!$F$33:$F$53</c:f>
              <c:numCache>
                <c:formatCode>0.0</c:formatCode>
                <c:ptCount val="21"/>
                <c:pt idx="0">
                  <c:v>11.432041663653202</c:v>
                </c:pt>
                <c:pt idx="1">
                  <c:v>16.105919316793603</c:v>
                </c:pt>
                <c:pt idx="2">
                  <c:v>4.5766716323884173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9-7646-8FB6-6A96F46AB9B4}"/>
            </c:ext>
          </c:extLst>
        </c:ser>
        <c:ser>
          <c:idx val="12"/>
          <c:order val="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(Dnt)'!$F$62:$F$82</c:f>
              <c:numCache>
                <c:formatCode>0.0</c:formatCode>
                <c:ptCount val="21"/>
                <c:pt idx="0">
                  <c:v>17.572224999205542</c:v>
                </c:pt>
                <c:pt idx="1">
                  <c:v>20.959990592987193</c:v>
                </c:pt>
                <c:pt idx="2">
                  <c:v>23.72486418674487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9-7646-8FB6-6A96F46AB9B4}"/>
            </c:ext>
          </c:extLst>
        </c:ser>
        <c:ser>
          <c:idx val="13"/>
          <c:order val="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(Dnt)'!$F$91:$F$111</c:f>
              <c:numCache>
                <c:formatCode>0.0</c:formatCode>
                <c:ptCount val="21"/>
                <c:pt idx="0">
                  <c:v>23.596593153395663</c:v>
                </c:pt>
                <c:pt idx="1">
                  <c:v>20.040525988516585</c:v>
                </c:pt>
                <c:pt idx="2">
                  <c:v>22.014831692051281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9-7646-8FB6-6A96F46AB9B4}"/>
            </c:ext>
          </c:extLst>
        </c:ser>
        <c:ser>
          <c:idx val="14"/>
          <c:order val="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(Dnt)'!$F$121:$F$141</c:f>
              <c:numCache>
                <c:formatCode>0.0</c:formatCode>
                <c:ptCount val="21"/>
                <c:pt idx="0">
                  <c:v>33.379476812225946</c:v>
                </c:pt>
                <c:pt idx="1">
                  <c:v>40.475218235941284</c:v>
                </c:pt>
                <c:pt idx="2">
                  <c:v>40.731795981633823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9-7646-8FB6-6A96F46AB9B4}"/>
            </c:ext>
          </c:extLst>
        </c:ser>
        <c:ser>
          <c:idx val="15"/>
          <c:order val="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(Dnt)'!$F$4:$F$24</c:f>
              <c:numCache>
                <c:formatCode>0.0</c:formatCode>
                <c:ptCount val="21"/>
                <c:pt idx="0">
                  <c:v>23.6616062648712</c:v>
                </c:pt>
                <c:pt idx="1">
                  <c:v>21.433461776950683</c:v>
                </c:pt>
                <c:pt idx="2">
                  <c:v>26.751193970005058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49-7646-8FB6-6A96F46AB9B4}"/>
            </c:ext>
          </c:extLst>
        </c:ser>
        <c:ser>
          <c:idx val="16"/>
          <c:order val="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(Dnt)'!$F$33:$F$53</c:f>
              <c:numCache>
                <c:formatCode>0.0</c:formatCode>
                <c:ptCount val="21"/>
                <c:pt idx="0">
                  <c:v>11.432041663653202</c:v>
                </c:pt>
                <c:pt idx="1">
                  <c:v>16.105919316793603</c:v>
                </c:pt>
                <c:pt idx="2">
                  <c:v>4.5766716323884173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49-7646-8FB6-6A96F46AB9B4}"/>
            </c:ext>
          </c:extLst>
        </c:ser>
        <c:ser>
          <c:idx val="17"/>
          <c:order val="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(Dnt)'!$F$62:$F$82</c:f>
              <c:numCache>
                <c:formatCode>0.0</c:formatCode>
                <c:ptCount val="21"/>
                <c:pt idx="0">
                  <c:v>17.572224999205542</c:v>
                </c:pt>
                <c:pt idx="1">
                  <c:v>20.959990592987193</c:v>
                </c:pt>
                <c:pt idx="2">
                  <c:v>23.72486418674487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49-7646-8FB6-6A96F46AB9B4}"/>
            </c:ext>
          </c:extLst>
        </c:ser>
        <c:ser>
          <c:idx val="18"/>
          <c:order val="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(Dnt)'!$F$91:$F$111</c:f>
              <c:numCache>
                <c:formatCode>0.0</c:formatCode>
                <c:ptCount val="21"/>
                <c:pt idx="0">
                  <c:v>23.596593153395663</c:v>
                </c:pt>
                <c:pt idx="1">
                  <c:v>20.040525988516585</c:v>
                </c:pt>
                <c:pt idx="2">
                  <c:v>22.014831692051281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49-7646-8FB6-6A96F46AB9B4}"/>
            </c:ext>
          </c:extLst>
        </c:ser>
        <c:ser>
          <c:idx val="19"/>
          <c:order val="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(Dnt)'!$F$121:$F$141</c:f>
              <c:numCache>
                <c:formatCode>0.0</c:formatCode>
                <c:ptCount val="21"/>
                <c:pt idx="0">
                  <c:v>33.379476812225946</c:v>
                </c:pt>
                <c:pt idx="1">
                  <c:v>40.475218235941284</c:v>
                </c:pt>
                <c:pt idx="2">
                  <c:v>40.731795981633823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49-7646-8FB6-6A96F46AB9B4}"/>
            </c:ext>
          </c:extLst>
        </c:ser>
        <c:ser>
          <c:idx val="5"/>
          <c:order val="1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(Dnt)'!$F$4:$F$24</c:f>
              <c:numCache>
                <c:formatCode>0.0</c:formatCode>
                <c:ptCount val="21"/>
                <c:pt idx="0">
                  <c:v>23.6616062648712</c:v>
                </c:pt>
                <c:pt idx="1">
                  <c:v>21.433461776950683</c:v>
                </c:pt>
                <c:pt idx="2">
                  <c:v>26.751193970005058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49-7646-8FB6-6A96F46AB9B4}"/>
            </c:ext>
          </c:extLst>
        </c:ser>
        <c:ser>
          <c:idx val="6"/>
          <c:order val="1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(Dnt)'!$F$33:$F$53</c:f>
              <c:numCache>
                <c:formatCode>0.0</c:formatCode>
                <c:ptCount val="21"/>
                <c:pt idx="0">
                  <c:v>11.432041663653202</c:v>
                </c:pt>
                <c:pt idx="1">
                  <c:v>16.105919316793603</c:v>
                </c:pt>
                <c:pt idx="2">
                  <c:v>4.5766716323884173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49-7646-8FB6-6A96F46AB9B4}"/>
            </c:ext>
          </c:extLst>
        </c:ser>
        <c:ser>
          <c:idx val="7"/>
          <c:order val="1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(Dnt)'!$F$62:$F$82</c:f>
              <c:numCache>
                <c:formatCode>0.0</c:formatCode>
                <c:ptCount val="21"/>
                <c:pt idx="0">
                  <c:v>17.572224999205542</c:v>
                </c:pt>
                <c:pt idx="1">
                  <c:v>20.959990592987193</c:v>
                </c:pt>
                <c:pt idx="2">
                  <c:v>23.72486418674487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49-7646-8FB6-6A96F46AB9B4}"/>
            </c:ext>
          </c:extLst>
        </c:ser>
        <c:ser>
          <c:idx val="8"/>
          <c:order val="1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(Dnt)'!$F$91:$F$111</c:f>
              <c:numCache>
                <c:formatCode>0.0</c:formatCode>
                <c:ptCount val="21"/>
                <c:pt idx="0">
                  <c:v>23.596593153395663</c:v>
                </c:pt>
                <c:pt idx="1">
                  <c:v>20.040525988516585</c:v>
                </c:pt>
                <c:pt idx="2">
                  <c:v>22.014831692051281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49-7646-8FB6-6A96F46AB9B4}"/>
            </c:ext>
          </c:extLst>
        </c:ser>
        <c:ser>
          <c:idx val="9"/>
          <c:order val="1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(Dnt)'!$F$121:$F$141</c:f>
              <c:numCache>
                <c:formatCode>0.0</c:formatCode>
                <c:ptCount val="21"/>
                <c:pt idx="0">
                  <c:v>33.379476812225946</c:v>
                </c:pt>
                <c:pt idx="1">
                  <c:v>40.475218235941284</c:v>
                </c:pt>
                <c:pt idx="2">
                  <c:v>40.731795981633823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49-7646-8FB6-6A96F46AB9B4}"/>
            </c:ext>
          </c:extLst>
        </c:ser>
        <c:ser>
          <c:idx val="0"/>
          <c:order val="1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(Dnt)'!$F$4:$F$24</c:f>
              <c:numCache>
                <c:formatCode>0.0</c:formatCode>
                <c:ptCount val="21"/>
                <c:pt idx="0">
                  <c:v>23.6616062648712</c:v>
                </c:pt>
                <c:pt idx="1">
                  <c:v>21.433461776950683</c:v>
                </c:pt>
                <c:pt idx="2">
                  <c:v>26.751193970005058</c:v>
                </c:pt>
                <c:pt idx="3">
                  <c:v>37.715318710513287</c:v>
                </c:pt>
                <c:pt idx="4">
                  <c:v>33.262098260255229</c:v>
                </c:pt>
                <c:pt idx="5">
                  <c:v>37.467791740906129</c:v>
                </c:pt>
                <c:pt idx="6">
                  <c:v>39.333397144955235</c:v>
                </c:pt>
                <c:pt idx="7">
                  <c:v>42.22590858928249</c:v>
                </c:pt>
                <c:pt idx="8">
                  <c:v>40.117045332687944</c:v>
                </c:pt>
                <c:pt idx="9">
                  <c:v>41.019088285325552</c:v>
                </c:pt>
                <c:pt idx="10">
                  <c:v>42.618770208198114</c:v>
                </c:pt>
                <c:pt idx="11">
                  <c:v>47.658012440402366</c:v>
                </c:pt>
                <c:pt idx="12">
                  <c:v>49.833091826748557</c:v>
                </c:pt>
                <c:pt idx="13">
                  <c:v>51.678129741673935</c:v>
                </c:pt>
                <c:pt idx="14">
                  <c:v>50.151931185230943</c:v>
                </c:pt>
                <c:pt idx="15">
                  <c:v>51.101832664252655</c:v>
                </c:pt>
                <c:pt idx="16">
                  <c:v>50.37165674484207</c:v>
                </c:pt>
                <c:pt idx="17">
                  <c:v>45.733255794451793</c:v>
                </c:pt>
                <c:pt idx="18">
                  <c:v>41.415012178196434</c:v>
                </c:pt>
                <c:pt idx="19">
                  <c:v>43.026380461112993</c:v>
                </c:pt>
                <c:pt idx="20">
                  <c:v>48.31178081047355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49-7646-8FB6-6A96F46AB9B4}"/>
            </c:ext>
          </c:extLst>
        </c:ser>
        <c:ser>
          <c:idx val="1"/>
          <c:order val="1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(Dnt)'!$F$33:$F$53</c:f>
              <c:numCache>
                <c:formatCode>0.0</c:formatCode>
                <c:ptCount val="21"/>
                <c:pt idx="0">
                  <c:v>11.432041663653202</c:v>
                </c:pt>
                <c:pt idx="1">
                  <c:v>16.105919316793603</c:v>
                </c:pt>
                <c:pt idx="2">
                  <c:v>4.5766716323884173</c:v>
                </c:pt>
                <c:pt idx="3">
                  <c:v>21.589582025968213</c:v>
                </c:pt>
                <c:pt idx="4">
                  <c:v>18.640401163043414</c:v>
                </c:pt>
                <c:pt idx="5">
                  <c:v>17.733786494601173</c:v>
                </c:pt>
                <c:pt idx="6">
                  <c:v>14.699483466531492</c:v>
                </c:pt>
                <c:pt idx="7">
                  <c:v>13.046996514522071</c:v>
                </c:pt>
                <c:pt idx="8">
                  <c:v>17.71479001277299</c:v>
                </c:pt>
                <c:pt idx="9">
                  <c:v>22.351296013174554</c:v>
                </c:pt>
                <c:pt idx="10">
                  <c:v>23.355903987534511</c:v>
                </c:pt>
                <c:pt idx="11">
                  <c:v>24.584257332057259</c:v>
                </c:pt>
                <c:pt idx="12">
                  <c:v>25.649845211970266</c:v>
                </c:pt>
                <c:pt idx="13">
                  <c:v>25.126047910232359</c:v>
                </c:pt>
                <c:pt idx="14">
                  <c:v>24.861856342746712</c:v>
                </c:pt>
                <c:pt idx="15">
                  <c:v>25.168697316264215</c:v>
                </c:pt>
                <c:pt idx="16">
                  <c:v>22.994701773494409</c:v>
                </c:pt>
                <c:pt idx="17">
                  <c:v>20.017091768414694</c:v>
                </c:pt>
                <c:pt idx="18">
                  <c:v>19.218713023777696</c:v>
                </c:pt>
                <c:pt idx="19">
                  <c:v>20.963735043172484</c:v>
                </c:pt>
                <c:pt idx="20">
                  <c:v>22.919046006564781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49-7646-8FB6-6A96F46AB9B4}"/>
            </c:ext>
          </c:extLst>
        </c:ser>
        <c:ser>
          <c:idx val="2"/>
          <c:order val="1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(Dnt)'!$F$62:$F$82</c:f>
              <c:numCache>
                <c:formatCode>0.0</c:formatCode>
                <c:ptCount val="21"/>
                <c:pt idx="0">
                  <c:v>17.572224999205542</c:v>
                </c:pt>
                <c:pt idx="1">
                  <c:v>20.959990592987193</c:v>
                </c:pt>
                <c:pt idx="2">
                  <c:v>23.72486418674487</c:v>
                </c:pt>
                <c:pt idx="3">
                  <c:v>27.023967352767983</c:v>
                </c:pt>
                <c:pt idx="4">
                  <c:v>23.837849455102706</c:v>
                </c:pt>
                <c:pt idx="5">
                  <c:v>25.136503530562312</c:v>
                </c:pt>
                <c:pt idx="6">
                  <c:v>30.606680996106185</c:v>
                </c:pt>
                <c:pt idx="7">
                  <c:v>31.739177981774741</c:v>
                </c:pt>
                <c:pt idx="8">
                  <c:v>29.699769005509737</c:v>
                </c:pt>
                <c:pt idx="9">
                  <c:v>30.036648325448901</c:v>
                </c:pt>
                <c:pt idx="10">
                  <c:v>32.516635821621506</c:v>
                </c:pt>
                <c:pt idx="11">
                  <c:v>31.285282944841338</c:v>
                </c:pt>
                <c:pt idx="12">
                  <c:v>34.476753258866147</c:v>
                </c:pt>
                <c:pt idx="13">
                  <c:v>36.378596647403434</c:v>
                </c:pt>
                <c:pt idx="14">
                  <c:v>37.043774435851816</c:v>
                </c:pt>
                <c:pt idx="15">
                  <c:v>37.93283232789063</c:v>
                </c:pt>
                <c:pt idx="16">
                  <c:v>39.320963854740199</c:v>
                </c:pt>
                <c:pt idx="17">
                  <c:v>38.485020736186129</c:v>
                </c:pt>
                <c:pt idx="18">
                  <c:v>36.171945380651863</c:v>
                </c:pt>
                <c:pt idx="19">
                  <c:v>36.855454085109052</c:v>
                </c:pt>
                <c:pt idx="20">
                  <c:v>40.109635541586492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49-7646-8FB6-6A96F46AB9B4}"/>
            </c:ext>
          </c:extLst>
        </c:ser>
        <c:ser>
          <c:idx val="3"/>
          <c:order val="1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(Dnt)'!$F$91:$F$111</c:f>
              <c:numCache>
                <c:formatCode>0.0</c:formatCode>
                <c:ptCount val="21"/>
                <c:pt idx="0">
                  <c:v>23.596593153395663</c:v>
                </c:pt>
                <c:pt idx="1">
                  <c:v>20.040525988516585</c:v>
                </c:pt>
                <c:pt idx="2">
                  <c:v>22.014831692051281</c:v>
                </c:pt>
                <c:pt idx="3">
                  <c:v>32.335013655140031</c:v>
                </c:pt>
                <c:pt idx="4">
                  <c:v>26.970838459592045</c:v>
                </c:pt>
                <c:pt idx="5">
                  <c:v>30.485453958461797</c:v>
                </c:pt>
                <c:pt idx="6">
                  <c:v>33.644851843759525</c:v>
                </c:pt>
                <c:pt idx="7">
                  <c:v>32.245895907234747</c:v>
                </c:pt>
                <c:pt idx="8">
                  <c:v>30.683073883416686</c:v>
                </c:pt>
                <c:pt idx="9">
                  <c:v>33.606805490393349</c:v>
                </c:pt>
                <c:pt idx="10">
                  <c:v>32.612856224844109</c:v>
                </c:pt>
                <c:pt idx="11">
                  <c:v>34.372118888358045</c:v>
                </c:pt>
                <c:pt idx="12">
                  <c:v>36.125690345779191</c:v>
                </c:pt>
                <c:pt idx="13">
                  <c:v>38.777223554605101</c:v>
                </c:pt>
                <c:pt idx="14">
                  <c:v>41.148200563599858</c:v>
                </c:pt>
                <c:pt idx="15">
                  <c:v>42.035133723538969</c:v>
                </c:pt>
                <c:pt idx="16">
                  <c:v>44.091156176694</c:v>
                </c:pt>
                <c:pt idx="17">
                  <c:v>43.513526351473516</c:v>
                </c:pt>
                <c:pt idx="18">
                  <c:v>40.548330513330122</c:v>
                </c:pt>
                <c:pt idx="19">
                  <c:v>43.617658784832457</c:v>
                </c:pt>
                <c:pt idx="20">
                  <c:v>46.480685482662551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49-7646-8FB6-6A96F46AB9B4}"/>
            </c:ext>
          </c:extLst>
        </c:ser>
        <c:ser>
          <c:idx val="4"/>
          <c:order val="1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(Dnt)'!$F$121:$F$141</c:f>
              <c:numCache>
                <c:formatCode>0.0</c:formatCode>
                <c:ptCount val="21"/>
                <c:pt idx="0">
                  <c:v>33.379476812225946</c:v>
                </c:pt>
                <c:pt idx="1">
                  <c:v>40.475218235941284</c:v>
                </c:pt>
                <c:pt idx="2">
                  <c:v>40.731795981633823</c:v>
                </c:pt>
                <c:pt idx="3">
                  <c:v>37.754545606961109</c:v>
                </c:pt>
                <c:pt idx="4">
                  <c:v>41.090524220378029</c:v>
                </c:pt>
                <c:pt idx="5">
                  <c:v>48.639659881118845</c:v>
                </c:pt>
                <c:pt idx="6">
                  <c:v>51.861045613517931</c:v>
                </c:pt>
                <c:pt idx="7">
                  <c:v>55.671839255858927</c:v>
                </c:pt>
                <c:pt idx="8">
                  <c:v>54.202271825718924</c:v>
                </c:pt>
                <c:pt idx="9">
                  <c:v>56.902341465498083</c:v>
                </c:pt>
                <c:pt idx="10">
                  <c:v>58.19895069017312</c:v>
                </c:pt>
                <c:pt idx="11">
                  <c:v>61.862323188083678</c:v>
                </c:pt>
                <c:pt idx="12">
                  <c:v>66.508858050874736</c:v>
                </c:pt>
                <c:pt idx="13">
                  <c:v>66.276920208105309</c:v>
                </c:pt>
                <c:pt idx="14">
                  <c:v>68.042441045897817</c:v>
                </c:pt>
                <c:pt idx="15">
                  <c:v>67.669948160461331</c:v>
                </c:pt>
                <c:pt idx="16">
                  <c:v>67.972769034075327</c:v>
                </c:pt>
                <c:pt idx="17">
                  <c:v>67.324080447670099</c:v>
                </c:pt>
                <c:pt idx="18">
                  <c:v>63.269410502587277</c:v>
                </c:pt>
                <c:pt idx="19">
                  <c:v>63.175597843259872</c:v>
                </c:pt>
                <c:pt idx="20">
                  <c:v>62.418316055654046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49-7646-8FB6-6A96F46A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0.12179288410229713"/>
          <c:h val="0.21837816813565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Escaleras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229803001645114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Escaleras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(Dnt)'!$F$36:$F$51</c:f>
              <c:numCache>
                <c:formatCode>0.0</c:formatCode>
                <c:ptCount val="16"/>
                <c:pt idx="0">
                  <c:v>21.589582025968213</c:v>
                </c:pt>
                <c:pt idx="1">
                  <c:v>18.640401163043414</c:v>
                </c:pt>
                <c:pt idx="2">
                  <c:v>17.733786494601173</c:v>
                </c:pt>
                <c:pt idx="3">
                  <c:v>14.699483466531492</c:v>
                </c:pt>
                <c:pt idx="4">
                  <c:v>13.046996514522071</c:v>
                </c:pt>
                <c:pt idx="5">
                  <c:v>17.71479001277299</c:v>
                </c:pt>
                <c:pt idx="6">
                  <c:v>22.351296013174554</c:v>
                </c:pt>
                <c:pt idx="7">
                  <c:v>23.355903987534511</c:v>
                </c:pt>
                <c:pt idx="8">
                  <c:v>24.584257332057259</c:v>
                </c:pt>
                <c:pt idx="9">
                  <c:v>25.649845211970266</c:v>
                </c:pt>
                <c:pt idx="10">
                  <c:v>25.126047910232359</c:v>
                </c:pt>
                <c:pt idx="11">
                  <c:v>24.861856342746712</c:v>
                </c:pt>
                <c:pt idx="12">
                  <c:v>25.168697316264215</c:v>
                </c:pt>
                <c:pt idx="13">
                  <c:v>22.994701773494409</c:v>
                </c:pt>
                <c:pt idx="14">
                  <c:v>20.017091768414694</c:v>
                </c:pt>
                <c:pt idx="15">
                  <c:v>19.218713023777696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C-EB4D-8264-EC83EE333C5A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(Dnt)'!$G$36:$G$51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C-EB4D-8264-EC83EE333C5A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(Dnt)'!$I$36:$I$51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C-EB4D-8264-EC83EE33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14837219590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Cocina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229803001645114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Cocina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(Dnt)'!$F$65:$F$80</c:f>
              <c:numCache>
                <c:formatCode>0.0</c:formatCode>
                <c:ptCount val="16"/>
                <c:pt idx="0">
                  <c:v>27.023967352767983</c:v>
                </c:pt>
                <c:pt idx="1">
                  <c:v>23.837849455102706</c:v>
                </c:pt>
                <c:pt idx="2">
                  <c:v>25.136503530562312</c:v>
                </c:pt>
                <c:pt idx="3">
                  <c:v>30.606680996106185</c:v>
                </c:pt>
                <c:pt idx="4">
                  <c:v>31.739177981774741</c:v>
                </c:pt>
                <c:pt idx="5">
                  <c:v>29.699769005509737</c:v>
                </c:pt>
                <c:pt idx="6">
                  <c:v>30.036648325448901</c:v>
                </c:pt>
                <c:pt idx="7">
                  <c:v>32.516635821621506</c:v>
                </c:pt>
                <c:pt idx="8">
                  <c:v>31.285282944841338</c:v>
                </c:pt>
                <c:pt idx="9">
                  <c:v>34.476753258866147</c:v>
                </c:pt>
                <c:pt idx="10">
                  <c:v>36.378596647403434</c:v>
                </c:pt>
                <c:pt idx="11">
                  <c:v>37.043774435851816</c:v>
                </c:pt>
                <c:pt idx="12">
                  <c:v>37.93283232789063</c:v>
                </c:pt>
                <c:pt idx="13">
                  <c:v>39.320963854740199</c:v>
                </c:pt>
                <c:pt idx="14">
                  <c:v>38.485020736186129</c:v>
                </c:pt>
                <c:pt idx="15">
                  <c:v>36.171945380651863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1-204A-9D07-4B9257FBE9D1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(Dnt)'!$G$65:$G$80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1-204A-9D07-4B9257FBE9D1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(Dnt)'!$I$65:$I$80</c:f>
              <c:numCache>
                <c:formatCode>General</c:formatCode>
                <c:ptCount val="16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1-204A-9D07-4B9257FB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4147849287434106E-2"/>
          <c:h val="0.2411327482391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Salón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435493540175659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Salón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(Dnt)'!$F$94:$F$109</c:f>
              <c:numCache>
                <c:formatCode>0.0</c:formatCode>
                <c:ptCount val="16"/>
                <c:pt idx="0">
                  <c:v>32.335013655140031</c:v>
                </c:pt>
                <c:pt idx="1">
                  <c:v>26.970838459592045</c:v>
                </c:pt>
                <c:pt idx="2">
                  <c:v>30.485453958461797</c:v>
                </c:pt>
                <c:pt idx="3">
                  <c:v>33.644851843759525</c:v>
                </c:pt>
                <c:pt idx="4">
                  <c:v>32.245895907234747</c:v>
                </c:pt>
                <c:pt idx="5">
                  <c:v>30.683073883416686</c:v>
                </c:pt>
                <c:pt idx="6">
                  <c:v>33.606805490393349</c:v>
                </c:pt>
                <c:pt idx="7">
                  <c:v>32.612856224844109</c:v>
                </c:pt>
                <c:pt idx="8">
                  <c:v>34.372118888358045</c:v>
                </c:pt>
                <c:pt idx="9">
                  <c:v>36.125690345779191</c:v>
                </c:pt>
                <c:pt idx="10">
                  <c:v>38.777223554605101</c:v>
                </c:pt>
                <c:pt idx="11">
                  <c:v>41.148200563599858</c:v>
                </c:pt>
                <c:pt idx="12">
                  <c:v>42.035133723538969</c:v>
                </c:pt>
                <c:pt idx="13">
                  <c:v>44.091156176694</c:v>
                </c:pt>
                <c:pt idx="14">
                  <c:v>43.513526351473516</c:v>
                </c:pt>
                <c:pt idx="15">
                  <c:v>40.548330513330122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2-A341-AFA4-44D32AB8B3A5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(Dnt)'!$G$7:$G$22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2-A341-AFA4-44D32AB8B3A5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(Dnt)'!$I$94:$I$109</c:f>
              <c:numCache>
                <c:formatCode>0</c:formatCode>
                <c:ptCount val="16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2-A341-AFA4-44D32AB8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47116282627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Habitación Inferior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229638887986141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Inf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(Dnt)'!$F$124:$F$139</c:f>
              <c:numCache>
                <c:formatCode>0.0</c:formatCode>
                <c:ptCount val="16"/>
                <c:pt idx="0">
                  <c:v>37.754545606961109</c:v>
                </c:pt>
                <c:pt idx="1">
                  <c:v>41.090524220378029</c:v>
                </c:pt>
                <c:pt idx="2">
                  <c:v>48.639659881118845</c:v>
                </c:pt>
                <c:pt idx="3">
                  <c:v>51.861045613517931</c:v>
                </c:pt>
                <c:pt idx="4">
                  <c:v>55.671839255858927</c:v>
                </c:pt>
                <c:pt idx="5">
                  <c:v>54.202271825718924</c:v>
                </c:pt>
                <c:pt idx="6">
                  <c:v>56.902341465498083</c:v>
                </c:pt>
                <c:pt idx="7">
                  <c:v>58.19895069017312</c:v>
                </c:pt>
                <c:pt idx="8">
                  <c:v>61.862323188083678</c:v>
                </c:pt>
                <c:pt idx="9">
                  <c:v>66.508858050874736</c:v>
                </c:pt>
                <c:pt idx="10">
                  <c:v>66.276920208105309</c:v>
                </c:pt>
                <c:pt idx="11">
                  <c:v>68.042441045897817</c:v>
                </c:pt>
                <c:pt idx="12">
                  <c:v>67.669948160461331</c:v>
                </c:pt>
                <c:pt idx="13">
                  <c:v>67.972769034075327</c:v>
                </c:pt>
                <c:pt idx="14">
                  <c:v>67.324080447670099</c:v>
                </c:pt>
                <c:pt idx="15">
                  <c:v>63.269410502587277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9247-AFB0-494E77010A96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(Dnt)'!$G$124:$G$139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0-9247-AFB0-494E77010A96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(Dnt)'!$I$124:$I$139</c:f>
              <c:numCache>
                <c:formatCode>General</c:formatCode>
                <c:ptCount val="16"/>
                <c:pt idx="0">
                  <c:v>41</c:v>
                </c:pt>
                <c:pt idx="1">
                  <c:v>44</c:v>
                </c:pt>
                <c:pt idx="2">
                  <c:v>47</c:v>
                </c:pt>
                <c:pt idx="3">
                  <c:v>50</c:v>
                </c:pt>
                <c:pt idx="4">
                  <c:v>53</c:v>
                </c:pt>
                <c:pt idx="5">
                  <c:v>56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0-9247-AFB0-494E7701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9520889816979773E-2"/>
          <c:h val="0.2183703901413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Diferencia De Nivel Normalizada DnT - Habitación superior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746653675123456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sup Dnt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(Dnt)'!$F$7:$F$22</c:f>
              <c:numCache>
                <c:formatCode>0.0</c:formatCode>
                <c:ptCount val="16"/>
                <c:pt idx="0">
                  <c:v>37.715318710513287</c:v>
                </c:pt>
                <c:pt idx="1">
                  <c:v>33.262098260255229</c:v>
                </c:pt>
                <c:pt idx="2">
                  <c:v>37.467791740906129</c:v>
                </c:pt>
                <c:pt idx="3">
                  <c:v>39.333397144955235</c:v>
                </c:pt>
                <c:pt idx="4">
                  <c:v>42.22590858928249</c:v>
                </c:pt>
                <c:pt idx="5">
                  <c:v>40.117045332687944</c:v>
                </c:pt>
                <c:pt idx="6">
                  <c:v>41.019088285325552</c:v>
                </c:pt>
                <c:pt idx="7">
                  <c:v>42.618770208198114</c:v>
                </c:pt>
                <c:pt idx="8">
                  <c:v>47.658012440402366</c:v>
                </c:pt>
                <c:pt idx="9">
                  <c:v>49.833091826748557</c:v>
                </c:pt>
                <c:pt idx="10">
                  <c:v>51.678129741673935</c:v>
                </c:pt>
                <c:pt idx="11">
                  <c:v>50.151931185230943</c:v>
                </c:pt>
                <c:pt idx="12">
                  <c:v>51.101832664252655</c:v>
                </c:pt>
                <c:pt idx="13">
                  <c:v>50.37165674484207</c:v>
                </c:pt>
                <c:pt idx="14">
                  <c:v>45.733255794451793</c:v>
                </c:pt>
                <c:pt idx="15">
                  <c:v>41.415012178196434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3-E74F-B4BD-F10D28C66DC2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(Dnt)'!$G$36:$G$51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3-E74F-B4BD-F10D28C66DC2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(Dnt)'!$I$7:$I$22</c:f>
              <c:numCache>
                <c:formatCode>General</c:formatCode>
                <c:ptCount val="16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3-E74F-B4BD-F10D28C6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14837219590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Diferencia De Nivel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(R'')'!$F$5:$F$25</c:f>
              <c:numCache>
                <c:formatCode>0.0</c:formatCode>
                <c:ptCount val="21"/>
                <c:pt idx="0">
                  <c:v>24.630706394951751</c:v>
                </c:pt>
                <c:pt idx="1">
                  <c:v>22.402561907031245</c:v>
                </c:pt>
                <c:pt idx="2">
                  <c:v>27.720294100085621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E-7F46-9594-8B42BB4189D0}"/>
            </c:ext>
          </c:extLst>
        </c:ser>
        <c:ser>
          <c:idx val="11"/>
          <c:order val="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(R'')'!$F$35:$F$55</c:f>
              <c:numCache>
                <c:formatCode>0.0</c:formatCode>
                <c:ptCount val="21"/>
                <c:pt idx="0">
                  <c:v>9.848416742700703</c:v>
                </c:pt>
                <c:pt idx="1">
                  <c:v>14.522294395841104</c:v>
                </c:pt>
                <c:pt idx="2">
                  <c:v>2.9930467114359223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E-7F46-9594-8B42BB4189D0}"/>
            </c:ext>
          </c:extLst>
        </c:ser>
        <c:ser>
          <c:idx val="12"/>
          <c:order val="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(R'')'!$F$65:$F$85</c:f>
              <c:numCache>
                <c:formatCode>0.0</c:formatCode>
                <c:ptCount val="21"/>
                <c:pt idx="0">
                  <c:v>19.340091866378867</c:v>
                </c:pt>
                <c:pt idx="1">
                  <c:v>22.727857460160518</c:v>
                </c:pt>
                <c:pt idx="2">
                  <c:v>25.492731053918192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E-7F46-9594-8B42BB4189D0}"/>
            </c:ext>
          </c:extLst>
        </c:ser>
        <c:ser>
          <c:idx val="13"/>
          <c:order val="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(R'')'!$F$94:$F$114</c:f>
              <c:numCache>
                <c:formatCode>0.0</c:formatCode>
                <c:ptCount val="21"/>
                <c:pt idx="0">
                  <c:v>25.364460020568984</c:v>
                </c:pt>
                <c:pt idx="1">
                  <c:v>21.808392855689913</c:v>
                </c:pt>
                <c:pt idx="2">
                  <c:v>23.782698559224606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E-7F46-9594-8B42BB4189D0}"/>
            </c:ext>
          </c:extLst>
        </c:ser>
        <c:ser>
          <c:idx val="14"/>
          <c:order val="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(R'')'!$F$124:$F$144</c:f>
              <c:numCache>
                <c:formatCode>0.0</c:formatCode>
                <c:ptCount val="21"/>
                <c:pt idx="0">
                  <c:v>34.348576942306515</c:v>
                </c:pt>
                <c:pt idx="1">
                  <c:v>41.444318366021847</c:v>
                </c:pt>
                <c:pt idx="2">
                  <c:v>41.700896111714378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E-7F46-9594-8B42BB4189D0}"/>
            </c:ext>
          </c:extLst>
        </c:ser>
        <c:ser>
          <c:idx val="15"/>
          <c:order val="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(R'')'!$F$5:$F$25</c:f>
              <c:numCache>
                <c:formatCode>0.0</c:formatCode>
                <c:ptCount val="21"/>
                <c:pt idx="0">
                  <c:v>24.630706394951751</c:v>
                </c:pt>
                <c:pt idx="1">
                  <c:v>22.402561907031245</c:v>
                </c:pt>
                <c:pt idx="2">
                  <c:v>27.720294100085621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6E-7F46-9594-8B42BB4189D0}"/>
            </c:ext>
          </c:extLst>
        </c:ser>
        <c:ser>
          <c:idx val="16"/>
          <c:order val="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(R'')'!$F$35:$F$55</c:f>
              <c:numCache>
                <c:formatCode>0.0</c:formatCode>
                <c:ptCount val="21"/>
                <c:pt idx="0">
                  <c:v>9.848416742700703</c:v>
                </c:pt>
                <c:pt idx="1">
                  <c:v>14.522294395841104</c:v>
                </c:pt>
                <c:pt idx="2">
                  <c:v>2.9930467114359223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6E-7F46-9594-8B42BB4189D0}"/>
            </c:ext>
          </c:extLst>
        </c:ser>
        <c:ser>
          <c:idx val="17"/>
          <c:order val="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(R'')'!$F$65:$F$85</c:f>
              <c:numCache>
                <c:formatCode>0.0</c:formatCode>
                <c:ptCount val="21"/>
                <c:pt idx="0">
                  <c:v>19.340091866378867</c:v>
                </c:pt>
                <c:pt idx="1">
                  <c:v>22.727857460160518</c:v>
                </c:pt>
                <c:pt idx="2">
                  <c:v>25.492731053918192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6E-7F46-9594-8B42BB4189D0}"/>
            </c:ext>
          </c:extLst>
        </c:ser>
        <c:ser>
          <c:idx val="18"/>
          <c:order val="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(R'')'!$F$94:$F$114</c:f>
              <c:numCache>
                <c:formatCode>0.0</c:formatCode>
                <c:ptCount val="21"/>
                <c:pt idx="0">
                  <c:v>25.364460020568984</c:v>
                </c:pt>
                <c:pt idx="1">
                  <c:v>21.808392855689913</c:v>
                </c:pt>
                <c:pt idx="2">
                  <c:v>23.782698559224606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6E-7F46-9594-8B42BB4189D0}"/>
            </c:ext>
          </c:extLst>
        </c:ser>
        <c:ser>
          <c:idx val="19"/>
          <c:order val="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(R'')'!$F$124:$F$144</c:f>
              <c:numCache>
                <c:formatCode>0.0</c:formatCode>
                <c:ptCount val="21"/>
                <c:pt idx="0">
                  <c:v>34.348576942306515</c:v>
                </c:pt>
                <c:pt idx="1">
                  <c:v>41.444318366021847</c:v>
                </c:pt>
                <c:pt idx="2">
                  <c:v>41.700896111714378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6E-7F46-9594-8B42BB4189D0}"/>
            </c:ext>
          </c:extLst>
        </c:ser>
        <c:ser>
          <c:idx val="5"/>
          <c:order val="10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(R'')'!$F$5:$F$25</c:f>
              <c:numCache>
                <c:formatCode>0.0</c:formatCode>
                <c:ptCount val="21"/>
                <c:pt idx="0">
                  <c:v>24.630706394951751</c:v>
                </c:pt>
                <c:pt idx="1">
                  <c:v>22.402561907031245</c:v>
                </c:pt>
                <c:pt idx="2">
                  <c:v>27.720294100085621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6E-7F46-9594-8B42BB4189D0}"/>
            </c:ext>
          </c:extLst>
        </c:ser>
        <c:ser>
          <c:idx val="6"/>
          <c:order val="11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(R'')'!$F$35:$F$55</c:f>
              <c:numCache>
                <c:formatCode>0.0</c:formatCode>
                <c:ptCount val="21"/>
                <c:pt idx="0">
                  <c:v>9.848416742700703</c:v>
                </c:pt>
                <c:pt idx="1">
                  <c:v>14.522294395841104</c:v>
                </c:pt>
                <c:pt idx="2">
                  <c:v>2.9930467114359223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6E-7F46-9594-8B42BB4189D0}"/>
            </c:ext>
          </c:extLst>
        </c:ser>
        <c:ser>
          <c:idx val="7"/>
          <c:order val="12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(R'')'!$F$65:$F$85</c:f>
              <c:numCache>
                <c:formatCode>0.0</c:formatCode>
                <c:ptCount val="21"/>
                <c:pt idx="0">
                  <c:v>19.340091866378867</c:v>
                </c:pt>
                <c:pt idx="1">
                  <c:v>22.727857460160518</c:v>
                </c:pt>
                <c:pt idx="2">
                  <c:v>25.492731053918192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6E-7F46-9594-8B42BB4189D0}"/>
            </c:ext>
          </c:extLst>
        </c:ser>
        <c:ser>
          <c:idx val="8"/>
          <c:order val="13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(R'')'!$F$94:$F$114</c:f>
              <c:numCache>
                <c:formatCode>0.0</c:formatCode>
                <c:ptCount val="21"/>
                <c:pt idx="0">
                  <c:v>25.364460020568984</c:v>
                </c:pt>
                <c:pt idx="1">
                  <c:v>21.808392855689913</c:v>
                </c:pt>
                <c:pt idx="2">
                  <c:v>23.782698559224606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6E-7F46-9594-8B42BB4189D0}"/>
            </c:ext>
          </c:extLst>
        </c:ser>
        <c:ser>
          <c:idx val="9"/>
          <c:order val="14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(R'')'!$F$124:$F$144</c:f>
              <c:numCache>
                <c:formatCode>0.0</c:formatCode>
                <c:ptCount val="21"/>
                <c:pt idx="0">
                  <c:v>34.348576942306515</c:v>
                </c:pt>
                <c:pt idx="1">
                  <c:v>41.444318366021847</c:v>
                </c:pt>
                <c:pt idx="2">
                  <c:v>41.700896111714378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6E-7F46-9594-8B42BB4189D0}"/>
            </c:ext>
          </c:extLst>
        </c:ser>
        <c:ser>
          <c:idx val="0"/>
          <c:order val="15"/>
          <c:tx>
            <c:v>Habitación Superior Dnt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(R'')'!$F$5:$F$25</c:f>
              <c:numCache>
                <c:formatCode>0.0</c:formatCode>
                <c:ptCount val="21"/>
                <c:pt idx="0">
                  <c:v>24.630706394951751</c:v>
                </c:pt>
                <c:pt idx="1">
                  <c:v>22.402561907031245</c:v>
                </c:pt>
                <c:pt idx="2">
                  <c:v>27.720294100085621</c:v>
                </c:pt>
                <c:pt idx="3">
                  <c:v>38.684418840593857</c:v>
                </c:pt>
                <c:pt idx="4">
                  <c:v>34.231198390335791</c:v>
                </c:pt>
                <c:pt idx="5">
                  <c:v>38.436891870986685</c:v>
                </c:pt>
                <c:pt idx="6">
                  <c:v>40.302497275035797</c:v>
                </c:pt>
                <c:pt idx="7">
                  <c:v>43.195008719363052</c:v>
                </c:pt>
                <c:pt idx="8">
                  <c:v>41.086145462768506</c:v>
                </c:pt>
                <c:pt idx="9">
                  <c:v>41.988188415406114</c:v>
                </c:pt>
                <c:pt idx="10">
                  <c:v>43.587870338278677</c:v>
                </c:pt>
                <c:pt idx="11">
                  <c:v>48.627112570482936</c:v>
                </c:pt>
                <c:pt idx="12">
                  <c:v>50.80219195682912</c:v>
                </c:pt>
                <c:pt idx="13">
                  <c:v>52.647229871754497</c:v>
                </c:pt>
                <c:pt idx="14">
                  <c:v>51.121031315311505</c:v>
                </c:pt>
                <c:pt idx="15">
                  <c:v>52.070932794333203</c:v>
                </c:pt>
                <c:pt idx="16">
                  <c:v>51.340756874922626</c:v>
                </c:pt>
                <c:pt idx="17">
                  <c:v>46.702355924532348</c:v>
                </c:pt>
                <c:pt idx="18">
                  <c:v>42.384112308277004</c:v>
                </c:pt>
                <c:pt idx="19">
                  <c:v>43.995480591193555</c:v>
                </c:pt>
                <c:pt idx="20">
                  <c:v>49.28088094055412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6E-7F46-9594-8B42BB4189D0}"/>
            </c:ext>
          </c:extLst>
        </c:ser>
        <c:ser>
          <c:idx val="1"/>
          <c:order val="16"/>
          <c:tx>
            <c:v>Escaleras Dnt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(R'')'!$F$35:$F$55</c:f>
              <c:numCache>
                <c:formatCode>0.0</c:formatCode>
                <c:ptCount val="21"/>
                <c:pt idx="0">
                  <c:v>9.848416742700703</c:v>
                </c:pt>
                <c:pt idx="1">
                  <c:v>14.522294395841104</c:v>
                </c:pt>
                <c:pt idx="2">
                  <c:v>2.9930467114359223</c:v>
                </c:pt>
                <c:pt idx="3">
                  <c:v>20.005957105015714</c:v>
                </c:pt>
                <c:pt idx="4">
                  <c:v>17.056776242090919</c:v>
                </c:pt>
                <c:pt idx="5">
                  <c:v>16.150161573648674</c:v>
                </c:pt>
                <c:pt idx="6">
                  <c:v>13.115858545578995</c:v>
                </c:pt>
                <c:pt idx="7">
                  <c:v>11.463371593569571</c:v>
                </c:pt>
                <c:pt idx="8">
                  <c:v>16.131165091820495</c:v>
                </c:pt>
                <c:pt idx="9">
                  <c:v>20.767671092222059</c:v>
                </c:pt>
                <c:pt idx="10">
                  <c:v>21.772279066582016</c:v>
                </c:pt>
                <c:pt idx="11">
                  <c:v>23.00063241110476</c:v>
                </c:pt>
                <c:pt idx="12">
                  <c:v>24.066220291017775</c:v>
                </c:pt>
                <c:pt idx="13">
                  <c:v>23.542422989279864</c:v>
                </c:pt>
                <c:pt idx="14">
                  <c:v>23.278231421794217</c:v>
                </c:pt>
                <c:pt idx="15">
                  <c:v>23.58507239531172</c:v>
                </c:pt>
                <c:pt idx="16">
                  <c:v>21.411076852541914</c:v>
                </c:pt>
                <c:pt idx="17">
                  <c:v>18.433466847462196</c:v>
                </c:pt>
                <c:pt idx="18">
                  <c:v>17.635088102825197</c:v>
                </c:pt>
                <c:pt idx="19">
                  <c:v>19.380110122219982</c:v>
                </c:pt>
                <c:pt idx="20">
                  <c:v>21.335421085612282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6E-7F46-9594-8B42BB4189D0}"/>
            </c:ext>
          </c:extLst>
        </c:ser>
        <c:ser>
          <c:idx val="2"/>
          <c:order val="17"/>
          <c:tx>
            <c:v>Cocina Dnt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(R'')'!$F$65:$F$85</c:f>
              <c:numCache>
                <c:formatCode>0.0</c:formatCode>
                <c:ptCount val="21"/>
                <c:pt idx="0">
                  <c:v>19.340091866378867</c:v>
                </c:pt>
                <c:pt idx="1">
                  <c:v>22.727857460160518</c:v>
                </c:pt>
                <c:pt idx="2">
                  <c:v>25.492731053918192</c:v>
                </c:pt>
                <c:pt idx="3">
                  <c:v>28.791834219941311</c:v>
                </c:pt>
                <c:pt idx="4">
                  <c:v>25.605716322276027</c:v>
                </c:pt>
                <c:pt idx="5">
                  <c:v>26.904370397735633</c:v>
                </c:pt>
                <c:pt idx="6">
                  <c:v>32.37454786327951</c:v>
                </c:pt>
                <c:pt idx="7">
                  <c:v>33.50704484894807</c:v>
                </c:pt>
                <c:pt idx="8">
                  <c:v>31.467635872683065</c:v>
                </c:pt>
                <c:pt idx="9">
                  <c:v>31.804515192622226</c:v>
                </c:pt>
                <c:pt idx="10">
                  <c:v>34.284502688794831</c:v>
                </c:pt>
                <c:pt idx="11">
                  <c:v>33.053149812014659</c:v>
                </c:pt>
                <c:pt idx="12">
                  <c:v>36.244620126039472</c:v>
                </c:pt>
                <c:pt idx="13">
                  <c:v>38.146463514576759</c:v>
                </c:pt>
                <c:pt idx="14">
                  <c:v>38.811641303025141</c:v>
                </c:pt>
                <c:pt idx="15">
                  <c:v>39.700699195063947</c:v>
                </c:pt>
                <c:pt idx="16">
                  <c:v>41.088830721913531</c:v>
                </c:pt>
                <c:pt idx="17">
                  <c:v>40.252887603359454</c:v>
                </c:pt>
                <c:pt idx="18">
                  <c:v>37.939812247825188</c:v>
                </c:pt>
                <c:pt idx="19">
                  <c:v>38.623320952282377</c:v>
                </c:pt>
                <c:pt idx="20">
                  <c:v>41.877502408759817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6E-7F46-9594-8B42BB4189D0}"/>
            </c:ext>
          </c:extLst>
        </c:ser>
        <c:ser>
          <c:idx val="3"/>
          <c:order val="18"/>
          <c:tx>
            <c:v>Salón Dnt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(R'')'!$F$94:$F$114</c:f>
              <c:numCache>
                <c:formatCode>0.0</c:formatCode>
                <c:ptCount val="21"/>
                <c:pt idx="0">
                  <c:v>25.364460020568984</c:v>
                </c:pt>
                <c:pt idx="1">
                  <c:v>21.808392855689913</c:v>
                </c:pt>
                <c:pt idx="2">
                  <c:v>23.782698559224606</c:v>
                </c:pt>
                <c:pt idx="3">
                  <c:v>34.102880522313363</c:v>
                </c:pt>
                <c:pt idx="4">
                  <c:v>28.73870532676537</c:v>
                </c:pt>
                <c:pt idx="5">
                  <c:v>32.253320825635122</c:v>
                </c:pt>
                <c:pt idx="6">
                  <c:v>35.412718710932857</c:v>
                </c:pt>
                <c:pt idx="7">
                  <c:v>34.013762774408065</c:v>
                </c:pt>
                <c:pt idx="8">
                  <c:v>32.450940750590014</c:v>
                </c:pt>
                <c:pt idx="9">
                  <c:v>35.374672357566666</c:v>
                </c:pt>
                <c:pt idx="10">
                  <c:v>34.380723092017426</c:v>
                </c:pt>
                <c:pt idx="11">
                  <c:v>36.13998575553137</c:v>
                </c:pt>
                <c:pt idx="12">
                  <c:v>37.893557212952523</c:v>
                </c:pt>
                <c:pt idx="13">
                  <c:v>40.545090421778418</c:v>
                </c:pt>
                <c:pt idx="14">
                  <c:v>42.916067430773182</c:v>
                </c:pt>
                <c:pt idx="15">
                  <c:v>43.803000590712287</c:v>
                </c:pt>
                <c:pt idx="16">
                  <c:v>45.859023043867325</c:v>
                </c:pt>
                <c:pt idx="17">
                  <c:v>45.281393218646855</c:v>
                </c:pt>
                <c:pt idx="18">
                  <c:v>42.316197380503439</c:v>
                </c:pt>
                <c:pt idx="19">
                  <c:v>45.385525652005782</c:v>
                </c:pt>
                <c:pt idx="20">
                  <c:v>48.248552349835869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6E-7F46-9594-8B42BB4189D0}"/>
            </c:ext>
          </c:extLst>
        </c:ser>
        <c:ser>
          <c:idx val="4"/>
          <c:order val="19"/>
          <c:tx>
            <c:v>Habitación inferior Dnt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'5º Baja Frec (R'')'!$F$124:$F$144</c:f>
              <c:numCache>
                <c:formatCode>0.0</c:formatCode>
                <c:ptCount val="21"/>
                <c:pt idx="0">
                  <c:v>34.348576942306515</c:v>
                </c:pt>
                <c:pt idx="1">
                  <c:v>41.444318366021847</c:v>
                </c:pt>
                <c:pt idx="2">
                  <c:v>41.700896111714378</c:v>
                </c:pt>
                <c:pt idx="3">
                  <c:v>38.723645737041679</c:v>
                </c:pt>
                <c:pt idx="4">
                  <c:v>42.059624350458591</c:v>
                </c:pt>
                <c:pt idx="5">
                  <c:v>49.608760011199408</c:v>
                </c:pt>
                <c:pt idx="6">
                  <c:v>52.830145743598493</c:v>
                </c:pt>
                <c:pt idx="7">
                  <c:v>56.64093938593949</c:v>
                </c:pt>
                <c:pt idx="8">
                  <c:v>55.171371955799479</c:v>
                </c:pt>
                <c:pt idx="9">
                  <c:v>57.871441595578645</c:v>
                </c:pt>
                <c:pt idx="10">
                  <c:v>59.168050820253669</c:v>
                </c:pt>
                <c:pt idx="11">
                  <c:v>62.831423318164248</c:v>
                </c:pt>
                <c:pt idx="12">
                  <c:v>67.477958180955298</c:v>
                </c:pt>
                <c:pt idx="13">
                  <c:v>67.246020338185872</c:v>
                </c:pt>
                <c:pt idx="14">
                  <c:v>69.01154117597838</c:v>
                </c:pt>
                <c:pt idx="15">
                  <c:v>68.639048290541893</c:v>
                </c:pt>
                <c:pt idx="16">
                  <c:v>68.941869164155889</c:v>
                </c:pt>
                <c:pt idx="17">
                  <c:v>68.293180577750661</c:v>
                </c:pt>
                <c:pt idx="18">
                  <c:v>64.23851063266784</c:v>
                </c:pt>
                <c:pt idx="19">
                  <c:v>64.144697973340442</c:v>
                </c:pt>
                <c:pt idx="20">
                  <c:v>63.387416185734608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6E-7F46-9594-8B42BB41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0.12179288410229713"/>
          <c:h val="0.21837816813565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Índice de reducción aparente 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sup R'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(R'')'!$F$8:$F$23</c:f>
              <c:numCache>
                <c:formatCode>0.0</c:formatCode>
                <c:ptCount val="16"/>
                <c:pt idx="0">
                  <c:v>38.684418840593857</c:v>
                </c:pt>
                <c:pt idx="1">
                  <c:v>34.231198390335791</c:v>
                </c:pt>
                <c:pt idx="2">
                  <c:v>38.436891870986685</c:v>
                </c:pt>
                <c:pt idx="3">
                  <c:v>40.302497275035797</c:v>
                </c:pt>
                <c:pt idx="4">
                  <c:v>43.195008719363052</c:v>
                </c:pt>
                <c:pt idx="5">
                  <c:v>41.086145462768506</c:v>
                </c:pt>
                <c:pt idx="6">
                  <c:v>41.988188415406114</c:v>
                </c:pt>
                <c:pt idx="7">
                  <c:v>43.587870338278677</c:v>
                </c:pt>
                <c:pt idx="8">
                  <c:v>48.627112570482936</c:v>
                </c:pt>
                <c:pt idx="9">
                  <c:v>50.80219195682912</c:v>
                </c:pt>
                <c:pt idx="10">
                  <c:v>52.647229871754497</c:v>
                </c:pt>
                <c:pt idx="11">
                  <c:v>51.121031315311505</c:v>
                </c:pt>
                <c:pt idx="12">
                  <c:v>52.070932794333203</c:v>
                </c:pt>
                <c:pt idx="13">
                  <c:v>51.340756874922626</c:v>
                </c:pt>
                <c:pt idx="14">
                  <c:v>46.702355924532348</c:v>
                </c:pt>
                <c:pt idx="15">
                  <c:v>42.384112308277004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0-FE4A-AA55-B0EC7C3D1837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(R'')'!$G$8:$G$23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0-FE4A-AA55-B0EC7C3D1837}"/>
            </c:ext>
          </c:extLst>
        </c:ser>
        <c:ser>
          <c:idx val="1"/>
          <c:order val="2"/>
          <c:tx>
            <c:v>Curva ref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(R'')'!$I$8:$I$23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0-FE4A-AA55-B0EC7C3D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1804769436726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baseline="0">
                <a:effectLst/>
              </a:rPr>
              <a:t>Cocina - Posición 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Frec'!$P$57</c:f>
              <c:strCache>
                <c:ptCount val="1"/>
                <c:pt idx="0">
                  <c:v>Pos2-Lmic1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Frec'!$P$58:$P$78</c:f>
              <c:numCache>
                <c:formatCode>0.00</c:formatCode>
                <c:ptCount val="21"/>
                <c:pt idx="0">
                  <c:v>58.059202816688256</c:v>
                </c:pt>
                <c:pt idx="1">
                  <c:v>58.252139435395186</c:v>
                </c:pt>
                <c:pt idx="2">
                  <c:v>54.581760852933499</c:v>
                </c:pt>
                <c:pt idx="3">
                  <c:v>57.964835975421941</c:v>
                </c:pt>
                <c:pt idx="4">
                  <c:v>57.823178183340552</c:v>
                </c:pt>
                <c:pt idx="5">
                  <c:v>72.833887189144633</c:v>
                </c:pt>
                <c:pt idx="6">
                  <c:v>66.945986950091239</c:v>
                </c:pt>
                <c:pt idx="7">
                  <c:v>70.699203367804941</c:v>
                </c:pt>
                <c:pt idx="8">
                  <c:v>75.498272352282143</c:v>
                </c:pt>
                <c:pt idx="9">
                  <c:v>71.823199097028123</c:v>
                </c:pt>
                <c:pt idx="10">
                  <c:v>68.42692131093294</c:v>
                </c:pt>
                <c:pt idx="11">
                  <c:v>65.272337513351076</c:v>
                </c:pt>
                <c:pt idx="12">
                  <c:v>62.820728537925191</c:v>
                </c:pt>
                <c:pt idx="13">
                  <c:v>60.622494255668428</c:v>
                </c:pt>
                <c:pt idx="14">
                  <c:v>57.999453358600299</c:v>
                </c:pt>
                <c:pt idx="15">
                  <c:v>56.793611967484232</c:v>
                </c:pt>
                <c:pt idx="16">
                  <c:v>54.613408245663777</c:v>
                </c:pt>
                <c:pt idx="17">
                  <c:v>56.314311574687288</c:v>
                </c:pt>
                <c:pt idx="18">
                  <c:v>57.214231405793541</c:v>
                </c:pt>
                <c:pt idx="19">
                  <c:v>52.564226747579966</c:v>
                </c:pt>
                <c:pt idx="20">
                  <c:v>46.727679701786059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4-9C4B-A970-552EEE51D6BC}"/>
            </c:ext>
          </c:extLst>
        </c:ser>
        <c:ser>
          <c:idx val="1"/>
          <c:order val="1"/>
          <c:tx>
            <c:strRef>
              <c:f>'1º Alta Frec'!$Q$57</c:f>
              <c:strCache>
                <c:ptCount val="1"/>
                <c:pt idx="0">
                  <c:v>Pos2-Lmic2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Frec'!$Q$58:$Q$78</c:f>
              <c:numCache>
                <c:formatCode>0.00</c:formatCode>
                <c:ptCount val="21"/>
                <c:pt idx="0">
                  <c:v>51.839983904532836</c:v>
                </c:pt>
                <c:pt idx="1">
                  <c:v>58.723824485523281</c:v>
                </c:pt>
                <c:pt idx="2">
                  <c:v>65.037968419271223</c:v>
                </c:pt>
                <c:pt idx="3">
                  <c:v>58.187994461424616</c:v>
                </c:pt>
                <c:pt idx="4">
                  <c:v>55.574418738698277</c:v>
                </c:pt>
                <c:pt idx="5">
                  <c:v>73.143189630097751</c:v>
                </c:pt>
                <c:pt idx="6">
                  <c:v>66.410217515133212</c:v>
                </c:pt>
                <c:pt idx="7">
                  <c:v>70.417693420118127</c:v>
                </c:pt>
                <c:pt idx="8">
                  <c:v>72.408174753873539</c:v>
                </c:pt>
                <c:pt idx="9">
                  <c:v>72.801519125614433</c:v>
                </c:pt>
                <c:pt idx="10">
                  <c:v>67.735312700043451</c:v>
                </c:pt>
                <c:pt idx="11">
                  <c:v>67.405553067586069</c:v>
                </c:pt>
                <c:pt idx="12">
                  <c:v>64.256330948241015</c:v>
                </c:pt>
                <c:pt idx="13">
                  <c:v>59.234130512584336</c:v>
                </c:pt>
                <c:pt idx="14">
                  <c:v>57.469275187077137</c:v>
                </c:pt>
                <c:pt idx="15">
                  <c:v>55.183840475128029</c:v>
                </c:pt>
                <c:pt idx="16">
                  <c:v>54.029445761356627</c:v>
                </c:pt>
                <c:pt idx="17">
                  <c:v>57.685248288241297</c:v>
                </c:pt>
                <c:pt idx="18">
                  <c:v>57.69061453422291</c:v>
                </c:pt>
                <c:pt idx="19">
                  <c:v>53.229062243739953</c:v>
                </c:pt>
                <c:pt idx="20">
                  <c:v>48.62261327716152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4-9C4B-A970-552EEE51D6BC}"/>
            </c:ext>
          </c:extLst>
        </c:ser>
        <c:ser>
          <c:idx val="2"/>
          <c:order val="2"/>
          <c:tx>
            <c:strRef>
              <c:f>'1º Alta Frec'!$R$57</c:f>
              <c:strCache>
                <c:ptCount val="1"/>
                <c:pt idx="0">
                  <c:v>Pos2-Lmic3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Frec'!$R$58:$R$78</c:f>
              <c:numCache>
                <c:formatCode>0.00</c:formatCode>
                <c:ptCount val="21"/>
                <c:pt idx="0">
                  <c:v>62.53906313700319</c:v>
                </c:pt>
                <c:pt idx="1">
                  <c:v>61.753420666861217</c:v>
                </c:pt>
                <c:pt idx="2">
                  <c:v>65.12557509673077</c:v>
                </c:pt>
                <c:pt idx="3">
                  <c:v>58.694426095417043</c:v>
                </c:pt>
                <c:pt idx="4">
                  <c:v>58.312962669328627</c:v>
                </c:pt>
                <c:pt idx="5">
                  <c:v>68.536543503832675</c:v>
                </c:pt>
                <c:pt idx="6">
                  <c:v>63.166372394378719</c:v>
                </c:pt>
                <c:pt idx="7">
                  <c:v>68.720285272872843</c:v>
                </c:pt>
                <c:pt idx="8">
                  <c:v>73.577175499152773</c:v>
                </c:pt>
                <c:pt idx="9">
                  <c:v>68.499388996790557</c:v>
                </c:pt>
                <c:pt idx="10">
                  <c:v>67.795603856472965</c:v>
                </c:pt>
                <c:pt idx="11">
                  <c:v>68.389992975685274</c:v>
                </c:pt>
                <c:pt idx="12">
                  <c:v>64.247704159961785</c:v>
                </c:pt>
                <c:pt idx="13">
                  <c:v>60.51955846541216</c:v>
                </c:pt>
                <c:pt idx="14">
                  <c:v>58.78028227134309</c:v>
                </c:pt>
                <c:pt idx="15">
                  <c:v>55.265561438796617</c:v>
                </c:pt>
                <c:pt idx="16">
                  <c:v>54.142888250369253</c:v>
                </c:pt>
                <c:pt idx="17">
                  <c:v>56.148718656367855</c:v>
                </c:pt>
                <c:pt idx="18">
                  <c:v>56.710577776244413</c:v>
                </c:pt>
                <c:pt idx="19">
                  <c:v>52.447128823073491</c:v>
                </c:pt>
                <c:pt idx="20">
                  <c:v>47.97803707086193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4-9C4B-A970-552EEE51D6BC}"/>
            </c:ext>
          </c:extLst>
        </c:ser>
        <c:ser>
          <c:idx val="3"/>
          <c:order val="3"/>
          <c:tx>
            <c:strRef>
              <c:f>'1º Alta Frec'!$S$57</c:f>
              <c:strCache>
                <c:ptCount val="1"/>
                <c:pt idx="0">
                  <c:v>Pos2-Lmic4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Frec'!$S$58:$S$78</c:f>
              <c:numCache>
                <c:formatCode>0.00</c:formatCode>
                <c:ptCount val="21"/>
                <c:pt idx="0">
                  <c:v>63.995732064412827</c:v>
                </c:pt>
                <c:pt idx="1">
                  <c:v>60.33866054210884</c:v>
                </c:pt>
                <c:pt idx="2">
                  <c:v>63.779289934165689</c:v>
                </c:pt>
                <c:pt idx="3">
                  <c:v>56.686009362857774</c:v>
                </c:pt>
                <c:pt idx="4">
                  <c:v>56.274867602757048</c:v>
                </c:pt>
                <c:pt idx="5">
                  <c:v>77.198029219874087</c:v>
                </c:pt>
                <c:pt idx="6">
                  <c:v>66.98956445009091</c:v>
                </c:pt>
                <c:pt idx="7">
                  <c:v>73.279791703095313</c:v>
                </c:pt>
                <c:pt idx="8">
                  <c:v>74.381606230864648</c:v>
                </c:pt>
                <c:pt idx="9">
                  <c:v>69.578481792022828</c:v>
                </c:pt>
                <c:pt idx="10">
                  <c:v>69.254591886601389</c:v>
                </c:pt>
                <c:pt idx="11">
                  <c:v>67.087870763535662</c:v>
                </c:pt>
                <c:pt idx="12">
                  <c:v>62.640708124315417</c:v>
                </c:pt>
                <c:pt idx="13">
                  <c:v>61.881884412875969</c:v>
                </c:pt>
                <c:pt idx="14">
                  <c:v>57.791434310117744</c:v>
                </c:pt>
                <c:pt idx="15">
                  <c:v>56.321056656855873</c:v>
                </c:pt>
                <c:pt idx="16">
                  <c:v>55.986724474255183</c:v>
                </c:pt>
                <c:pt idx="17">
                  <c:v>57.94213275099353</c:v>
                </c:pt>
                <c:pt idx="18">
                  <c:v>60.171847516505416</c:v>
                </c:pt>
                <c:pt idx="19">
                  <c:v>56.196495081927324</c:v>
                </c:pt>
                <c:pt idx="20">
                  <c:v>51.518404268389965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4-9C4B-A970-552EEE51D6BC}"/>
            </c:ext>
          </c:extLst>
        </c:ser>
        <c:ser>
          <c:idx val="4"/>
          <c:order val="4"/>
          <c:tx>
            <c:strRef>
              <c:f>'1º Alta Frec'!$T$57</c:f>
              <c:strCache>
                <c:ptCount val="1"/>
                <c:pt idx="0">
                  <c:v>Pos2-Lmic5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Frec'!$T$58:$T$78</c:f>
              <c:numCache>
                <c:formatCode>0.00</c:formatCode>
                <c:ptCount val="21"/>
                <c:pt idx="0">
                  <c:v>57.222826824096089</c:v>
                </c:pt>
                <c:pt idx="1">
                  <c:v>56.304466582957097</c:v>
                </c:pt>
                <c:pt idx="2">
                  <c:v>58.062060897016295</c:v>
                </c:pt>
                <c:pt idx="3">
                  <c:v>59.551285523492936</c:v>
                </c:pt>
                <c:pt idx="4">
                  <c:v>56.552715835939857</c:v>
                </c:pt>
                <c:pt idx="5">
                  <c:v>75.556177472837888</c:v>
                </c:pt>
                <c:pt idx="6">
                  <c:v>70.444917024621645</c:v>
                </c:pt>
                <c:pt idx="7">
                  <c:v>73.66371058957013</c:v>
                </c:pt>
                <c:pt idx="8">
                  <c:v>76.229364220070948</c:v>
                </c:pt>
                <c:pt idx="9">
                  <c:v>71.660882162932609</c:v>
                </c:pt>
                <c:pt idx="10">
                  <c:v>69.470511837282046</c:v>
                </c:pt>
                <c:pt idx="11">
                  <c:v>66.874240967386584</c:v>
                </c:pt>
                <c:pt idx="12">
                  <c:v>64.223141553206148</c:v>
                </c:pt>
                <c:pt idx="13">
                  <c:v>61.072857861357612</c:v>
                </c:pt>
                <c:pt idx="14">
                  <c:v>58.530213390110774</c:v>
                </c:pt>
                <c:pt idx="15">
                  <c:v>55.632801741447999</c:v>
                </c:pt>
                <c:pt idx="16">
                  <c:v>54.567901725584761</c:v>
                </c:pt>
                <c:pt idx="17">
                  <c:v>57.53677148496471</c:v>
                </c:pt>
                <c:pt idx="18">
                  <c:v>57.7945751282328</c:v>
                </c:pt>
                <c:pt idx="19">
                  <c:v>53.129347542288222</c:v>
                </c:pt>
                <c:pt idx="20">
                  <c:v>48.72538256069312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4-9C4B-A970-552EEE51D6BC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Frec'!$C$6:$C$26</c:f>
              <c:numCache>
                <c:formatCode>0.00</c:formatCode>
                <c:ptCount val="21"/>
                <c:pt idx="0">
                  <c:v>28.146715008355432</c:v>
                </c:pt>
                <c:pt idx="1">
                  <c:v>24.144270722382988</c:v>
                </c:pt>
                <c:pt idx="2">
                  <c:v>22.944642677805781</c:v>
                </c:pt>
                <c:pt idx="3">
                  <c:v>22.436116037805096</c:v>
                </c:pt>
                <c:pt idx="4">
                  <c:v>19.509058193443646</c:v>
                </c:pt>
                <c:pt idx="5">
                  <c:v>23.522845717037427</c:v>
                </c:pt>
                <c:pt idx="6">
                  <c:v>21.681263926761602</c:v>
                </c:pt>
                <c:pt idx="7">
                  <c:v>25.70778617048575</c:v>
                </c:pt>
                <c:pt idx="8">
                  <c:v>24.974156950034349</c:v>
                </c:pt>
                <c:pt idx="9">
                  <c:v>24.777384197010715</c:v>
                </c:pt>
                <c:pt idx="10">
                  <c:v>25.759291455636617</c:v>
                </c:pt>
                <c:pt idx="11">
                  <c:v>25.661214080511353</c:v>
                </c:pt>
                <c:pt idx="12">
                  <c:v>25.206530265558779</c:v>
                </c:pt>
                <c:pt idx="13">
                  <c:v>25.584988590938593</c:v>
                </c:pt>
                <c:pt idx="14">
                  <c:v>25.655874015459048</c:v>
                </c:pt>
                <c:pt idx="15">
                  <c:v>25.063784773832833</c:v>
                </c:pt>
                <c:pt idx="16">
                  <c:v>25.908405023462631</c:v>
                </c:pt>
                <c:pt idx="17">
                  <c:v>26.480220308490829</c:v>
                </c:pt>
                <c:pt idx="18">
                  <c:v>27.211833851010191</c:v>
                </c:pt>
                <c:pt idx="19">
                  <c:v>28.143697723064548</c:v>
                </c:pt>
                <c:pt idx="20">
                  <c:v>29.070110794765498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4-9C4B-A970-552EEE51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5463161728200119"/>
              <c:y val="0.9395679181161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56201272788703"/>
          <c:y val="9.3787538862469433E-2"/>
          <c:w val="0.10034813179065087"/>
          <c:h val="0.25137767564154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Escaleras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(R'')'!$F$38:$F$53</c:f>
              <c:numCache>
                <c:formatCode>0.0</c:formatCode>
                <c:ptCount val="16"/>
                <c:pt idx="0">
                  <c:v>20.005957105015714</c:v>
                </c:pt>
                <c:pt idx="1">
                  <c:v>17.056776242090919</c:v>
                </c:pt>
                <c:pt idx="2">
                  <c:v>16.150161573648674</c:v>
                </c:pt>
                <c:pt idx="3">
                  <c:v>13.115858545578995</c:v>
                </c:pt>
                <c:pt idx="4">
                  <c:v>11.463371593569571</c:v>
                </c:pt>
                <c:pt idx="5">
                  <c:v>16.131165091820495</c:v>
                </c:pt>
                <c:pt idx="6">
                  <c:v>20.767671092222059</c:v>
                </c:pt>
                <c:pt idx="7">
                  <c:v>21.772279066582016</c:v>
                </c:pt>
                <c:pt idx="8">
                  <c:v>23.00063241110476</c:v>
                </c:pt>
                <c:pt idx="9">
                  <c:v>24.066220291017775</c:v>
                </c:pt>
                <c:pt idx="10">
                  <c:v>23.542422989279864</c:v>
                </c:pt>
                <c:pt idx="11">
                  <c:v>23.278231421794217</c:v>
                </c:pt>
                <c:pt idx="12">
                  <c:v>23.58507239531172</c:v>
                </c:pt>
                <c:pt idx="13">
                  <c:v>21.411076852541914</c:v>
                </c:pt>
                <c:pt idx="14">
                  <c:v>18.433466847462196</c:v>
                </c:pt>
                <c:pt idx="15">
                  <c:v>17.635088102825197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8-1D4D-AD1E-F7A69820DED0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(R'')'!$G$38:$G$53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8-1D4D-AD1E-F7A69820DED0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(R'')'!$I$38:$I$53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8-1D4D-AD1E-F7A69820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42489997596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Cocina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(R'')'!$F$68:$F$83</c:f>
              <c:numCache>
                <c:formatCode>0.0</c:formatCode>
                <c:ptCount val="16"/>
                <c:pt idx="0">
                  <c:v>28.791834219941311</c:v>
                </c:pt>
                <c:pt idx="1">
                  <c:v>25.605716322276027</c:v>
                </c:pt>
                <c:pt idx="2">
                  <c:v>26.904370397735633</c:v>
                </c:pt>
                <c:pt idx="3">
                  <c:v>32.37454786327951</c:v>
                </c:pt>
                <c:pt idx="4">
                  <c:v>33.50704484894807</c:v>
                </c:pt>
                <c:pt idx="5">
                  <c:v>31.467635872683065</c:v>
                </c:pt>
                <c:pt idx="6">
                  <c:v>31.804515192622226</c:v>
                </c:pt>
                <c:pt idx="7">
                  <c:v>34.284502688794831</c:v>
                </c:pt>
                <c:pt idx="8">
                  <c:v>33.053149812014659</c:v>
                </c:pt>
                <c:pt idx="9">
                  <c:v>36.244620126039472</c:v>
                </c:pt>
                <c:pt idx="10">
                  <c:v>38.146463514576759</c:v>
                </c:pt>
                <c:pt idx="11">
                  <c:v>38.811641303025141</c:v>
                </c:pt>
                <c:pt idx="12">
                  <c:v>39.700699195063947</c:v>
                </c:pt>
                <c:pt idx="13">
                  <c:v>41.088830721913531</c:v>
                </c:pt>
                <c:pt idx="14">
                  <c:v>40.252887603359454</c:v>
                </c:pt>
                <c:pt idx="15">
                  <c:v>37.939812247825188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254A-ADDE-1818EE70A123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(R'')'!$G$68:$G$83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B-254A-ADDE-1818EE70A123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(R'')'!$I$68:$I$83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B-254A-ADDE-1818EE70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4147849287434106E-2"/>
          <c:h val="0.21200622082718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Salón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(R'')'!$F$97:$F$112</c:f>
              <c:numCache>
                <c:formatCode>0.0</c:formatCode>
                <c:ptCount val="16"/>
                <c:pt idx="0">
                  <c:v>34.102880522313363</c:v>
                </c:pt>
                <c:pt idx="1">
                  <c:v>28.73870532676537</c:v>
                </c:pt>
                <c:pt idx="2">
                  <c:v>32.253320825635122</c:v>
                </c:pt>
                <c:pt idx="3">
                  <c:v>35.412718710932857</c:v>
                </c:pt>
                <c:pt idx="4">
                  <c:v>34.013762774408065</c:v>
                </c:pt>
                <c:pt idx="5">
                  <c:v>32.450940750590014</c:v>
                </c:pt>
                <c:pt idx="6">
                  <c:v>35.374672357566666</c:v>
                </c:pt>
                <c:pt idx="7">
                  <c:v>34.380723092017426</c:v>
                </c:pt>
                <c:pt idx="8">
                  <c:v>36.13998575553137</c:v>
                </c:pt>
                <c:pt idx="9">
                  <c:v>37.893557212952523</c:v>
                </c:pt>
                <c:pt idx="10">
                  <c:v>40.545090421778418</c:v>
                </c:pt>
                <c:pt idx="11">
                  <c:v>42.916067430773182</c:v>
                </c:pt>
                <c:pt idx="12">
                  <c:v>43.803000590712287</c:v>
                </c:pt>
                <c:pt idx="13">
                  <c:v>45.859023043867325</c:v>
                </c:pt>
                <c:pt idx="14">
                  <c:v>45.281393218646855</c:v>
                </c:pt>
                <c:pt idx="15">
                  <c:v>42.316197380503439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0-3A4B-8E99-52E720BA2B29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(R'')'!$G$8:$G$23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0-3A4B-8E99-52E720BA2B29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(R'')'!$I$97:$I$112</c:f>
              <c:numCache>
                <c:formatCode>General</c:formatCode>
                <c:ptCount val="16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0-3A4B-8E99-52E720BA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6174036350995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Índice de reducción aparente R'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77847205049781998"/>
          <c:h val="0.78841387206931512"/>
        </c:manualLayout>
      </c:layout>
      <c:scatterChart>
        <c:scatterStyle val="lineMarker"/>
        <c:varyColors val="0"/>
        <c:ser>
          <c:idx val="10"/>
          <c:order val="0"/>
          <c:tx>
            <c:v>Hab Inf R'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(R'')'!$F$127:$F$142</c:f>
              <c:numCache>
                <c:formatCode>0.0</c:formatCode>
                <c:ptCount val="16"/>
                <c:pt idx="0">
                  <c:v>38.723645737041679</c:v>
                </c:pt>
                <c:pt idx="1">
                  <c:v>42.059624350458591</c:v>
                </c:pt>
                <c:pt idx="2">
                  <c:v>49.608760011199408</c:v>
                </c:pt>
                <c:pt idx="3">
                  <c:v>52.830145743598493</c:v>
                </c:pt>
                <c:pt idx="4">
                  <c:v>56.64093938593949</c:v>
                </c:pt>
                <c:pt idx="5">
                  <c:v>55.171371955799479</c:v>
                </c:pt>
                <c:pt idx="6">
                  <c:v>57.871441595578645</c:v>
                </c:pt>
                <c:pt idx="7">
                  <c:v>59.168050820253669</c:v>
                </c:pt>
                <c:pt idx="8">
                  <c:v>62.831423318164248</c:v>
                </c:pt>
                <c:pt idx="9">
                  <c:v>67.477958180955298</c:v>
                </c:pt>
                <c:pt idx="10">
                  <c:v>67.246020338185872</c:v>
                </c:pt>
                <c:pt idx="11">
                  <c:v>69.01154117597838</c:v>
                </c:pt>
                <c:pt idx="12">
                  <c:v>68.639048290541893</c:v>
                </c:pt>
                <c:pt idx="13">
                  <c:v>68.941869164155889</c:v>
                </c:pt>
                <c:pt idx="14">
                  <c:v>68.293180577750661</c:v>
                </c:pt>
                <c:pt idx="15">
                  <c:v>64.23851063266784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B-944D-823C-716119E84C5A}"/>
            </c:ext>
          </c:extLst>
        </c:ser>
        <c:ser>
          <c:idx val="0"/>
          <c:order val="1"/>
          <c:tx>
            <c:v>Curva de referencia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(R'')'!$G$127:$G$142</c:f>
              <c:numCache>
                <c:formatCode>General</c:formatCode>
                <c:ptCount val="16"/>
                <c:pt idx="0">
                  <c:v>33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B-944D-823C-716119E84C5A}"/>
            </c:ext>
          </c:extLst>
        </c:ser>
        <c:ser>
          <c:idx val="1"/>
          <c:order val="2"/>
          <c:tx>
            <c:v>Curva desplazada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Frec'!$E$9:$E$24</c:f>
              <c:numCache>
                <c:formatCode>General</c:formatCode>
                <c:ptCount val="16"/>
                <c:pt idx="0">
                  <c:v>2</c:v>
                </c:pt>
                <c:pt idx="1">
                  <c:v>2.0969100130080562</c:v>
                </c:pt>
                <c:pt idx="2">
                  <c:v>2.2041199826559246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2.4983105537896004</c:v>
                </c:pt>
                <c:pt idx="6">
                  <c:v>2.6020599913279625</c:v>
                </c:pt>
                <c:pt idx="7">
                  <c:v>2.6989700043360187</c:v>
                </c:pt>
                <c:pt idx="8">
                  <c:v>2.7993405494535817</c:v>
                </c:pt>
                <c:pt idx="9">
                  <c:v>2.9030899869919438</c:v>
                </c:pt>
                <c:pt idx="10">
                  <c:v>3</c:v>
                </c:pt>
                <c:pt idx="11">
                  <c:v>3.0969100130080562</c:v>
                </c:pt>
                <c:pt idx="12">
                  <c:v>3.2041199826559246</c:v>
                </c:pt>
                <c:pt idx="13">
                  <c:v>3.3010299956639813</c:v>
                </c:pt>
                <c:pt idx="14">
                  <c:v>3.3979400086720375</c:v>
                </c:pt>
                <c:pt idx="15">
                  <c:v>3.4983105537896004</c:v>
                </c:pt>
              </c:numCache>
            </c:numRef>
          </c:xVal>
          <c:yVal>
            <c:numRef>
              <c:f>'5º Baja Frec (R'')'!$I$127:$I$142</c:f>
              <c:numCache>
                <c:formatCode>General</c:formatCode>
                <c:ptCount val="16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51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B-944D-823C-716119E8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Nivel</a:t>
                </a:r>
                <a:r>
                  <a:rPr lang="es-ES_tradnl" baseline="0"/>
                  <a:t> de </a:t>
                </a: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4775167566859"/>
          <c:y val="0.36406934463922014"/>
          <c:w val="7.7453715754538952E-2"/>
          <c:h val="0.25452963117617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Salón - Posición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6.6012804116562004E-2"/>
          <c:y val="9.6795876337808548E-2"/>
          <c:w val="0.85078609675496586"/>
          <c:h val="0.7884138720693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'1º Alta Frec'!$G$5</c:f>
              <c:strCache>
                <c:ptCount val="1"/>
                <c:pt idx="0">
                  <c:v>Pos1-Lmic1 (dB)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Frec'!$G$84:$G$104</c:f>
              <c:numCache>
                <c:formatCode>0.00</c:formatCode>
                <c:ptCount val="21"/>
                <c:pt idx="0">
                  <c:v>55.844960441416745</c:v>
                </c:pt>
                <c:pt idx="1">
                  <c:v>59.286043702207536</c:v>
                </c:pt>
                <c:pt idx="2">
                  <c:v>61.030821640567005</c:v>
                </c:pt>
                <c:pt idx="3">
                  <c:v>58.608966538269598</c:v>
                </c:pt>
                <c:pt idx="4">
                  <c:v>65.409254052520339</c:v>
                </c:pt>
                <c:pt idx="5">
                  <c:v>68.883424663975234</c:v>
                </c:pt>
                <c:pt idx="6">
                  <c:v>67.087948786187496</c:v>
                </c:pt>
                <c:pt idx="7">
                  <c:v>68.652257323804491</c:v>
                </c:pt>
                <c:pt idx="8">
                  <c:v>72.768477375151349</c:v>
                </c:pt>
                <c:pt idx="9">
                  <c:v>68.694986222556267</c:v>
                </c:pt>
                <c:pt idx="10">
                  <c:v>68.061705515934875</c:v>
                </c:pt>
                <c:pt idx="11">
                  <c:v>66.172279379486497</c:v>
                </c:pt>
                <c:pt idx="12">
                  <c:v>64.231090286738194</c:v>
                </c:pt>
                <c:pt idx="13">
                  <c:v>61.665774712195763</c:v>
                </c:pt>
                <c:pt idx="14">
                  <c:v>56.91369941331682</c:v>
                </c:pt>
                <c:pt idx="15">
                  <c:v>53.739543996785024</c:v>
                </c:pt>
                <c:pt idx="16">
                  <c:v>52.737170573273396</c:v>
                </c:pt>
                <c:pt idx="17">
                  <c:v>54.442888864025271</c:v>
                </c:pt>
                <c:pt idx="18">
                  <c:v>54.894410439745876</c:v>
                </c:pt>
                <c:pt idx="19">
                  <c:v>48.27461858896109</c:v>
                </c:pt>
                <c:pt idx="20">
                  <c:v>43.644966703734248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8-0745-9FBE-D6143F831733}"/>
            </c:ext>
          </c:extLst>
        </c:ser>
        <c:ser>
          <c:idx val="1"/>
          <c:order val="1"/>
          <c:tx>
            <c:strRef>
              <c:f>'1º Alta Frec'!$H$5</c:f>
              <c:strCache>
                <c:ptCount val="1"/>
                <c:pt idx="0">
                  <c:v>Pos1-Lmic2 (dB)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Frec'!$H$84:$H$104</c:f>
              <c:numCache>
                <c:formatCode>0.00</c:formatCode>
                <c:ptCount val="21"/>
                <c:pt idx="0">
                  <c:v>50.03272891467131</c:v>
                </c:pt>
                <c:pt idx="1">
                  <c:v>55.985070979444288</c:v>
                </c:pt>
                <c:pt idx="2">
                  <c:v>66.908479507059994</c:v>
                </c:pt>
                <c:pt idx="3">
                  <c:v>58.45263168238386</c:v>
                </c:pt>
                <c:pt idx="4">
                  <c:v>65.414697048332116</c:v>
                </c:pt>
                <c:pt idx="5">
                  <c:v>70.964276963246022</c:v>
                </c:pt>
                <c:pt idx="6">
                  <c:v>69.827463463891917</c:v>
                </c:pt>
                <c:pt idx="7">
                  <c:v>70.984884653212148</c:v>
                </c:pt>
                <c:pt idx="8">
                  <c:v>76.689452980138086</c:v>
                </c:pt>
                <c:pt idx="9">
                  <c:v>69.087528885467137</c:v>
                </c:pt>
                <c:pt idx="10">
                  <c:v>67.340023040771484</c:v>
                </c:pt>
                <c:pt idx="11">
                  <c:v>68.734103181090532</c:v>
                </c:pt>
                <c:pt idx="12">
                  <c:v>64.996712566327446</c:v>
                </c:pt>
                <c:pt idx="13">
                  <c:v>60.268167766136457</c:v>
                </c:pt>
                <c:pt idx="14">
                  <c:v>57.150348750247232</c:v>
                </c:pt>
                <c:pt idx="15">
                  <c:v>55.419191761258283</c:v>
                </c:pt>
                <c:pt idx="16">
                  <c:v>52.5929276092143</c:v>
                </c:pt>
                <c:pt idx="17">
                  <c:v>54.908573966690255</c:v>
                </c:pt>
                <c:pt idx="18">
                  <c:v>55.155030562002445</c:v>
                </c:pt>
                <c:pt idx="19">
                  <c:v>48.442255478871019</c:v>
                </c:pt>
                <c:pt idx="20">
                  <c:v>44.761103270325478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8-0745-9FBE-D6143F831733}"/>
            </c:ext>
          </c:extLst>
        </c:ser>
        <c:ser>
          <c:idx val="2"/>
          <c:order val="2"/>
          <c:tx>
            <c:strRef>
              <c:f>'1º Alta Frec'!$I$5</c:f>
              <c:strCache>
                <c:ptCount val="1"/>
                <c:pt idx="0">
                  <c:v>Pos1-Lmic3 (dB)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Frec'!$I$84:$I$104</c:f>
              <c:numCache>
                <c:formatCode>0.00</c:formatCode>
                <c:ptCount val="21"/>
                <c:pt idx="0">
                  <c:v>60.526902940538193</c:v>
                </c:pt>
                <c:pt idx="1">
                  <c:v>53.699958417568986</c:v>
                </c:pt>
                <c:pt idx="2">
                  <c:v>62.906982488799514</c:v>
                </c:pt>
                <c:pt idx="3">
                  <c:v>61.068032926146749</c:v>
                </c:pt>
                <c:pt idx="4">
                  <c:v>68.735696924220747</c:v>
                </c:pt>
                <c:pt idx="5">
                  <c:v>70.517915692245751</c:v>
                </c:pt>
                <c:pt idx="6">
                  <c:v>67.635294743588091</c:v>
                </c:pt>
                <c:pt idx="7">
                  <c:v>67.217594815973655</c:v>
                </c:pt>
                <c:pt idx="8">
                  <c:v>70.411698663722703</c:v>
                </c:pt>
                <c:pt idx="9">
                  <c:v>72.199991255196906</c:v>
                </c:pt>
                <c:pt idx="10">
                  <c:v>69.096469410678793</c:v>
                </c:pt>
                <c:pt idx="11">
                  <c:v>68.841999665198969</c:v>
                </c:pt>
                <c:pt idx="12">
                  <c:v>66.352428396124594</c:v>
                </c:pt>
                <c:pt idx="13">
                  <c:v>62.653301350554528</c:v>
                </c:pt>
                <c:pt idx="14">
                  <c:v>59.474553613495409</c:v>
                </c:pt>
                <c:pt idx="15">
                  <c:v>55.311027169924728</c:v>
                </c:pt>
                <c:pt idx="16">
                  <c:v>52.905904053805166</c:v>
                </c:pt>
                <c:pt idx="17">
                  <c:v>56.399443834985206</c:v>
                </c:pt>
                <c:pt idx="18">
                  <c:v>56.14096158568622</c:v>
                </c:pt>
                <c:pt idx="19">
                  <c:v>49.652662221451251</c:v>
                </c:pt>
                <c:pt idx="20">
                  <c:v>44.557522707933572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18-0745-9FBE-D6143F831733}"/>
            </c:ext>
          </c:extLst>
        </c:ser>
        <c:ser>
          <c:idx val="3"/>
          <c:order val="3"/>
          <c:tx>
            <c:strRef>
              <c:f>'1º Alta Frec'!$J$5</c:f>
              <c:strCache>
                <c:ptCount val="1"/>
                <c:pt idx="0">
                  <c:v>Pos1-Lmic4 (dB)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Frec'!$J$84:$J$104</c:f>
              <c:numCache>
                <c:formatCode>0.00</c:formatCode>
                <c:ptCount val="21"/>
                <c:pt idx="0">
                  <c:v>67.031155402671558</c:v>
                </c:pt>
                <c:pt idx="1">
                  <c:v>57.056400943809834</c:v>
                </c:pt>
                <c:pt idx="2">
                  <c:v>65.956000225085049</c:v>
                </c:pt>
                <c:pt idx="3">
                  <c:v>56.67149292583197</c:v>
                </c:pt>
                <c:pt idx="4">
                  <c:v>67.567091440370945</c:v>
                </c:pt>
                <c:pt idx="5">
                  <c:v>72.954772689532788</c:v>
                </c:pt>
                <c:pt idx="6">
                  <c:v>64.506182500454187</c:v>
                </c:pt>
                <c:pt idx="7">
                  <c:v>69.54776634968502</c:v>
                </c:pt>
                <c:pt idx="8">
                  <c:v>74.732519910928787</c:v>
                </c:pt>
                <c:pt idx="9">
                  <c:v>69.241149678476546</c:v>
                </c:pt>
                <c:pt idx="10">
                  <c:v>66.649671567997459</c:v>
                </c:pt>
                <c:pt idx="11">
                  <c:v>68.764913899238124</c:v>
                </c:pt>
                <c:pt idx="12">
                  <c:v>64.941600029457348</c:v>
                </c:pt>
                <c:pt idx="13">
                  <c:v>60.661283327380254</c:v>
                </c:pt>
                <c:pt idx="14">
                  <c:v>56.616447663642994</c:v>
                </c:pt>
                <c:pt idx="15">
                  <c:v>55.372358447509193</c:v>
                </c:pt>
                <c:pt idx="16">
                  <c:v>53.328518182459014</c:v>
                </c:pt>
                <c:pt idx="17">
                  <c:v>57.938895807579648</c:v>
                </c:pt>
                <c:pt idx="18">
                  <c:v>58.966805153609442</c:v>
                </c:pt>
                <c:pt idx="19">
                  <c:v>51.721378465213689</c:v>
                </c:pt>
                <c:pt idx="20">
                  <c:v>46.301244650648236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18-0745-9FBE-D6143F831733}"/>
            </c:ext>
          </c:extLst>
        </c:ser>
        <c:ser>
          <c:idx val="4"/>
          <c:order val="4"/>
          <c:tx>
            <c:strRef>
              <c:f>'1º Alta Frec'!$K$5</c:f>
              <c:strCache>
                <c:ptCount val="1"/>
                <c:pt idx="0">
                  <c:v>Pos1-Lmic5 (dB)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Frec'!$K$84:$K$104</c:f>
              <c:numCache>
                <c:formatCode>0.00</c:formatCode>
                <c:ptCount val="21"/>
                <c:pt idx="0">
                  <c:v>62.157538228895554</c:v>
                </c:pt>
                <c:pt idx="1">
                  <c:v>53.724964748040499</c:v>
                </c:pt>
                <c:pt idx="2">
                  <c:v>63.385439228659727</c:v>
                </c:pt>
                <c:pt idx="3">
                  <c:v>59.605451724586096</c:v>
                </c:pt>
                <c:pt idx="4">
                  <c:v>67.768913260383044</c:v>
                </c:pt>
                <c:pt idx="5">
                  <c:v>70.438381294657503</c:v>
                </c:pt>
                <c:pt idx="6">
                  <c:v>66.977909958457303</c:v>
                </c:pt>
                <c:pt idx="7">
                  <c:v>70.515499682215363</c:v>
                </c:pt>
                <c:pt idx="8">
                  <c:v>72.379574701003946</c:v>
                </c:pt>
                <c:pt idx="9">
                  <c:v>68.983455974046265</c:v>
                </c:pt>
                <c:pt idx="10">
                  <c:v>68.448421768378992</c:v>
                </c:pt>
                <c:pt idx="11">
                  <c:v>65.585919413745202</c:v>
                </c:pt>
                <c:pt idx="12">
                  <c:v>64.52158354413902</c:v>
                </c:pt>
                <c:pt idx="13">
                  <c:v>60.055371521550327</c:v>
                </c:pt>
                <c:pt idx="14">
                  <c:v>56.552138572112653</c:v>
                </c:pt>
                <c:pt idx="15">
                  <c:v>53.85016414282947</c:v>
                </c:pt>
                <c:pt idx="16">
                  <c:v>51.336771160736255</c:v>
                </c:pt>
                <c:pt idx="17">
                  <c:v>54.129003531275217</c:v>
                </c:pt>
                <c:pt idx="18">
                  <c:v>55.599963786788749</c:v>
                </c:pt>
                <c:pt idx="19">
                  <c:v>48.257346834145935</c:v>
                </c:pt>
                <c:pt idx="20">
                  <c:v>43.346927166526356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18-0745-9FBE-D6143F831733}"/>
            </c:ext>
          </c:extLst>
        </c:ser>
        <c:ser>
          <c:idx val="5"/>
          <c:order val="5"/>
          <c:tx>
            <c:v>RF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'1º Alta Frec'!$E$6:$E$26</c:f>
              <c:numCache>
                <c:formatCode>General</c:formatCode>
                <c:ptCount val="21"/>
                <c:pt idx="0">
                  <c:v>1.6989700043360187</c:v>
                </c:pt>
                <c:pt idx="1">
                  <c:v>1.7993405494535817</c:v>
                </c:pt>
                <c:pt idx="2">
                  <c:v>1.9030899869919435</c:v>
                </c:pt>
                <c:pt idx="3">
                  <c:v>2</c:v>
                </c:pt>
                <c:pt idx="4">
                  <c:v>2.0969100130080562</c:v>
                </c:pt>
                <c:pt idx="5">
                  <c:v>2.2041199826559246</c:v>
                </c:pt>
                <c:pt idx="6">
                  <c:v>2.3010299956639813</c:v>
                </c:pt>
                <c:pt idx="7">
                  <c:v>2.3979400086720375</c:v>
                </c:pt>
                <c:pt idx="8">
                  <c:v>2.4983105537896004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2.7993405494535817</c:v>
                </c:pt>
                <c:pt idx="12">
                  <c:v>2.9030899869919438</c:v>
                </c:pt>
                <c:pt idx="13">
                  <c:v>3</c:v>
                </c:pt>
                <c:pt idx="14">
                  <c:v>3.0969100130080562</c:v>
                </c:pt>
                <c:pt idx="15">
                  <c:v>3.2041199826559246</c:v>
                </c:pt>
                <c:pt idx="16">
                  <c:v>3.3010299956639813</c:v>
                </c:pt>
                <c:pt idx="17">
                  <c:v>3.3979400086720375</c:v>
                </c:pt>
                <c:pt idx="18">
                  <c:v>3.4983105537896004</c:v>
                </c:pt>
                <c:pt idx="19">
                  <c:v>3.6020599913279625</c:v>
                </c:pt>
                <c:pt idx="20">
                  <c:v>3.6989700043360187</c:v>
                </c:pt>
              </c:numCache>
            </c:numRef>
          </c:xVal>
          <c:yVal>
            <c:numRef>
              <c:f>'1º Alta Frec'!$C$84:$C$104</c:f>
              <c:numCache>
                <c:formatCode>0.00</c:formatCode>
                <c:ptCount val="21"/>
                <c:pt idx="0">
                  <c:v>26.630519956313577</c:v>
                </c:pt>
                <c:pt idx="1">
                  <c:v>20.834531205503037</c:v>
                </c:pt>
                <c:pt idx="2">
                  <c:v>20.268912664618064</c:v>
                </c:pt>
                <c:pt idx="3">
                  <c:v>20.926107463060561</c:v>
                </c:pt>
                <c:pt idx="4">
                  <c:v>19.237478460836353</c:v>
                </c:pt>
                <c:pt idx="5">
                  <c:v>23.041133113912824</c:v>
                </c:pt>
                <c:pt idx="6">
                  <c:v>21.681998933728615</c:v>
                </c:pt>
                <c:pt idx="7">
                  <c:v>25.777995447048276</c:v>
                </c:pt>
                <c:pt idx="8">
                  <c:v>24.654969957401072</c:v>
                </c:pt>
                <c:pt idx="9">
                  <c:v>24.688685799350573</c:v>
                </c:pt>
                <c:pt idx="10">
                  <c:v>25.72086424774659</c:v>
                </c:pt>
                <c:pt idx="11">
                  <c:v>25.552571351960321</c:v>
                </c:pt>
                <c:pt idx="12">
                  <c:v>25.194272409384993</c:v>
                </c:pt>
                <c:pt idx="13">
                  <c:v>25.48027170512885</c:v>
                </c:pt>
                <c:pt idx="14">
                  <c:v>25.857837510020754</c:v>
                </c:pt>
                <c:pt idx="15">
                  <c:v>25.148234624897949</c:v>
                </c:pt>
                <c:pt idx="16">
                  <c:v>25.965268263246511</c:v>
                </c:pt>
                <c:pt idx="17">
                  <c:v>26.432142459949347</c:v>
                </c:pt>
                <c:pt idx="18">
                  <c:v>27.119830727724199</c:v>
                </c:pt>
                <c:pt idx="19">
                  <c:v>28.055639217578968</c:v>
                </c:pt>
                <c:pt idx="20">
                  <c:v>29.046637214067978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18-0745-9FBE-D6143F83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86464"/>
        <c:axId val="1951604128"/>
      </c:scatterChart>
      <c:valAx>
        <c:axId val="1952086464"/>
        <c:scaling>
          <c:orientation val="minMax"/>
          <c:max val="3.6989700000000001"/>
          <c:min val="1.6989700040000002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</a:t>
                </a:r>
                <a:r>
                  <a:rPr lang="es-ES_tradnl" baseline="0"/>
                  <a:t> (Hz)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05427689838979"/>
              <c:y val="0.94815080469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crossAx val="1951604128"/>
        <c:crosses val="autoZero"/>
        <c:crossBetween val="midCat"/>
        <c:majorUnit val="0.1"/>
      </c:valAx>
      <c:valAx>
        <c:axId val="195160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Intensidad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20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image" Target="../media/image4.png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image" Target="../media/image5.png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image" Target="../media/image3.png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image" Target="../media/image6.png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6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2.xml"/><Relationship Id="rId7" Type="http://schemas.openxmlformats.org/officeDocument/2006/relationships/image" Target="../media/image7.png"/><Relationship Id="rId2" Type="http://schemas.openxmlformats.org/officeDocument/2006/relationships/chart" Target="../charts/chart61.xml"/><Relationship Id="rId1" Type="http://schemas.openxmlformats.org/officeDocument/2006/relationships/image" Target="../media/image6.png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image" Target="../media/image8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image" Target="../media/image9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image" Target="../media/image5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8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3.xml"/><Relationship Id="rId7" Type="http://schemas.openxmlformats.org/officeDocument/2006/relationships/image" Target="../media/image7.png"/><Relationship Id="rId2" Type="http://schemas.openxmlformats.org/officeDocument/2006/relationships/chart" Target="../charts/chart72.xml"/><Relationship Id="rId1" Type="http://schemas.openxmlformats.org/officeDocument/2006/relationships/image" Target="../media/image6.png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9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image" Target="../media/image6.png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1126067</xdr:colOff>
      <xdr:row>10</xdr:row>
      <xdr:rowOff>84667</xdr:rowOff>
    </xdr:from>
    <xdr:to>
      <xdr:col>2</xdr:col>
      <xdr:colOff>7704667</xdr:colOff>
      <xdr:row>19</xdr:row>
      <xdr:rowOff>83581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0" y="2116667"/>
          <a:ext cx="7772400" cy="1827714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27613E-F97B-EB40-BB52-C0FA03AD1047}"/>
                </a:ext>
              </a:extLst>
            </xdr:cNvPr>
            <xdr:cNvSpPr txBox="1"/>
          </xdr:nvSpPr>
          <xdr:spPr>
            <a:xfrm>
              <a:off x="5588000" y="67310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27613E-F97B-EB40-BB52-C0FA03AD1047}"/>
                </a:ext>
              </a:extLst>
            </xdr:cNvPr>
            <xdr:cNvSpPr txBox="1"/>
          </xdr:nvSpPr>
          <xdr:spPr>
            <a:xfrm>
              <a:off x="5588000" y="67310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)=46(−1;−2;−1;−6)𝑑𝐵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3776</xdr:colOff>
      <xdr:row>3</xdr:row>
      <xdr:rowOff>36842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45BD2-7AC3-6C45-9B84-FDB2E032D933}"/>
                </a:ext>
              </a:extLst>
            </xdr:cNvPr>
            <xdr:cNvSpPr txBox="1"/>
          </xdr:nvSpPr>
          <xdr:spPr>
            <a:xfrm>
              <a:off x="7555127" y="1032247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−3;−4;−3;−5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45BD2-7AC3-6C45-9B84-FDB2E032D933}"/>
                </a:ext>
              </a:extLst>
            </xdr:cNvPr>
            <xdr:cNvSpPr txBox="1"/>
          </xdr:nvSpPr>
          <xdr:spPr>
            <a:xfrm>
              <a:off x="7555127" y="1032247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)=25(−3;−4;−3;−5)𝑑𝐵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5411800</xdr:colOff>
      <xdr:row>4</xdr:row>
      <xdr:rowOff>34323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A613590-FF6C-8445-8C37-48DA4AFCDB08}"/>
                </a:ext>
              </a:extLst>
            </xdr:cNvPr>
            <xdr:cNvSpPr txBox="1"/>
          </xdr:nvSpPr>
          <xdr:spPr>
            <a:xfrm>
              <a:off x="7551350" y="1350089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A613590-FF6C-8445-8C37-48DA4AFCDB08}"/>
                </a:ext>
              </a:extLst>
            </xdr:cNvPr>
            <xdr:cNvSpPr txBox="1"/>
          </xdr:nvSpPr>
          <xdr:spPr>
            <a:xfrm>
              <a:off x="7551350" y="1350089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)=35(0;−2;0;−3)𝑑𝐵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8AFE352-4EEF-E848-B220-E4FED73603FE}"/>
                </a:ext>
              </a:extLst>
            </xdr:cNvPr>
            <xdr:cNvSpPr txBox="1"/>
          </xdr:nvSpPr>
          <xdr:spPr>
            <a:xfrm>
              <a:off x="5583423" y="1636126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−1;−3;−1;−5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8AFE352-4EEF-E848-B220-E4FED73603FE}"/>
                </a:ext>
              </a:extLst>
            </xdr:cNvPr>
            <xdr:cNvSpPr txBox="1"/>
          </xdr:nvSpPr>
          <xdr:spPr>
            <a:xfrm>
              <a:off x="5583423" y="1636126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)=39(−1;−3;−1;−5)𝑑𝐵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320360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A68DD1D-21C6-0D44-BD21-17DAD1A6DC5D}"/>
                </a:ext>
              </a:extLst>
            </xdr:cNvPr>
            <xdr:cNvSpPr txBox="1"/>
          </xdr:nvSpPr>
          <xdr:spPr>
            <a:xfrm>
              <a:off x="5583423" y="195648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A68DD1D-21C6-0D44-BD21-17DAD1A6DC5D}"/>
                </a:ext>
              </a:extLst>
            </xdr:cNvPr>
            <xdr:cNvSpPr txBox="1"/>
          </xdr:nvSpPr>
          <xdr:spPr>
            <a:xfrm>
              <a:off x="5583423" y="195648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)=59(0;−6;0;−8)𝑑𝐵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203514</xdr:colOff>
      <xdr:row>30</xdr:row>
      <xdr:rowOff>118515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3755C7D-C41C-ED47-8383-3A311AC2F86A}"/>
                </a:ext>
              </a:extLst>
            </xdr:cNvPr>
            <xdr:cNvSpPr txBox="1"/>
          </xdr:nvSpPr>
          <xdr:spPr>
            <a:xfrm>
              <a:off x="6816667" y="976365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−3;−4;−3;−4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3755C7D-C41C-ED47-8383-3A311AC2F86A}"/>
                </a:ext>
              </a:extLst>
            </xdr:cNvPr>
            <xdr:cNvSpPr txBox="1"/>
          </xdr:nvSpPr>
          <xdr:spPr>
            <a:xfrm>
              <a:off x="6816667" y="976365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)=25(−3;−4;−3;−4)𝑑𝐵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47085</xdr:colOff>
      <xdr:row>53</xdr:row>
      <xdr:rowOff>168005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2F7DC1B-8748-004E-A932-88E93B435684}"/>
                </a:ext>
              </a:extLst>
            </xdr:cNvPr>
            <xdr:cNvSpPr txBox="1"/>
          </xdr:nvSpPr>
          <xdr:spPr>
            <a:xfrm>
              <a:off x="6660238" y="15808455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2F7DC1B-8748-004E-A932-88E93B435684}"/>
                </a:ext>
              </a:extLst>
            </xdr:cNvPr>
            <xdr:cNvSpPr txBox="1"/>
          </xdr:nvSpPr>
          <xdr:spPr>
            <a:xfrm>
              <a:off x="6660238" y="15808455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)=35(0;−2;0;−3)𝑑𝐵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47085</xdr:colOff>
      <xdr:row>84</xdr:row>
      <xdr:rowOff>68793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A2A6ACB-ABD5-6F4B-9C9F-89355D9366DD}"/>
                </a:ext>
              </a:extLst>
            </xdr:cNvPr>
            <xdr:cNvSpPr txBox="1"/>
          </xdr:nvSpPr>
          <xdr:spPr>
            <a:xfrm>
              <a:off x="6660238" y="22093568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−1;−3;−1;−4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A2A6ACB-ABD5-6F4B-9C9F-89355D9366DD}"/>
                </a:ext>
              </a:extLst>
            </xdr:cNvPr>
            <xdr:cNvSpPr txBox="1"/>
          </xdr:nvSpPr>
          <xdr:spPr>
            <a:xfrm>
              <a:off x="6660238" y="22093568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)=39(−1;−3;−1;−4)𝑑𝐵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47085</xdr:colOff>
      <xdr:row>114</xdr:row>
      <xdr:rowOff>202315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97ED8C0-E418-D243-B45A-D426DA2C01B2}"/>
                </a:ext>
              </a:extLst>
            </xdr:cNvPr>
            <xdr:cNvSpPr txBox="1"/>
          </xdr:nvSpPr>
          <xdr:spPr>
            <a:xfrm>
              <a:off x="6660238" y="28405468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97ED8C0-E418-D243-B45A-D426DA2C01B2}"/>
                </a:ext>
              </a:extLst>
            </xdr:cNvPr>
            <xdr:cNvSpPr txBox="1"/>
          </xdr:nvSpPr>
          <xdr:spPr>
            <a:xfrm>
              <a:off x="6660238" y="28405468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)=59(0;−6;0;−7)𝑑𝐵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FB4A2B74-2F04-CB49-B886-892D49930FED}"/>
                </a:ext>
              </a:extLst>
            </xdr:cNvPr>
            <xdr:cNvSpPr txBox="1"/>
          </xdr:nvSpPr>
          <xdr:spPr>
            <a:xfrm>
              <a:off x="2139550" y="67504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FB4A2B74-2F04-CB49-B886-892D49930FED}"/>
                </a:ext>
              </a:extLst>
            </xdr:cNvPr>
            <xdr:cNvSpPr txBox="1"/>
          </xdr:nvSpPr>
          <xdr:spPr>
            <a:xfrm>
              <a:off x="2139550" y="67504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)=46(−1;−2;−1;−3)𝑑𝐵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C7923B37-51C3-7A4F-B927-E3862B5ECC27}"/>
                </a:ext>
              </a:extLst>
            </xdr:cNvPr>
            <xdr:cNvSpPr txBox="1"/>
          </xdr:nvSpPr>
          <xdr:spPr>
            <a:xfrm>
              <a:off x="2139550" y="99540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−3;−4;−3;−4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C7923B37-51C3-7A4F-B927-E3862B5ECC27}"/>
                </a:ext>
              </a:extLst>
            </xdr:cNvPr>
            <xdr:cNvSpPr txBox="1"/>
          </xdr:nvSpPr>
          <xdr:spPr>
            <a:xfrm>
              <a:off x="2139550" y="99540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)=25(−3;−4;−3;−4)𝑑𝐵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</xdr:row>
      <xdr:rowOff>0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C06C5BD-F373-4745-9275-A2159385AE19}"/>
                </a:ext>
              </a:extLst>
            </xdr:cNvPr>
            <xdr:cNvSpPr txBox="1"/>
          </xdr:nvSpPr>
          <xdr:spPr>
            <a:xfrm>
              <a:off x="2139550" y="131576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C06C5BD-F373-4745-9275-A2159385AE19}"/>
                </a:ext>
              </a:extLst>
            </xdr:cNvPr>
            <xdr:cNvSpPr txBox="1"/>
          </xdr:nvSpPr>
          <xdr:spPr>
            <a:xfrm>
              <a:off x="2139550" y="131576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)=35(0;−2;0;−3)𝑑𝐵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15C02E7-C30E-C149-98AC-8A5BAC063235}"/>
                </a:ext>
              </a:extLst>
            </xdr:cNvPr>
            <xdr:cNvSpPr txBox="1"/>
          </xdr:nvSpPr>
          <xdr:spPr>
            <a:xfrm>
              <a:off x="2139550" y="1636126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−1;−3;−1;−4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15C02E7-C30E-C149-98AC-8A5BAC063235}"/>
                </a:ext>
              </a:extLst>
            </xdr:cNvPr>
            <xdr:cNvSpPr txBox="1"/>
          </xdr:nvSpPr>
          <xdr:spPr>
            <a:xfrm>
              <a:off x="2139550" y="1636126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)=39(−1;−3;−1;−4)𝑑𝐵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</xdr:row>
      <xdr:rowOff>320360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237D685-EEF2-FE4A-BD21-56AB80DD37AC}"/>
                </a:ext>
              </a:extLst>
            </xdr:cNvPr>
            <xdr:cNvSpPr txBox="1"/>
          </xdr:nvSpPr>
          <xdr:spPr>
            <a:xfrm>
              <a:off x="2139550" y="195648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237D685-EEF2-FE4A-BD21-56AB80DD37AC}"/>
                </a:ext>
              </a:extLst>
            </xdr:cNvPr>
            <xdr:cNvSpPr txBox="1"/>
          </xdr:nvSpPr>
          <xdr:spPr>
            <a:xfrm>
              <a:off x="2139550" y="1956486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)=59(0;−6;0;−7)𝑑𝐵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26BFDC2-764C-E94D-80FE-A750E834241C}"/>
                </a:ext>
              </a:extLst>
            </xdr:cNvPr>
            <xdr:cNvSpPr txBox="1"/>
          </xdr:nvSpPr>
          <xdr:spPr>
            <a:xfrm>
              <a:off x="2139550" y="227684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26BFDC2-764C-E94D-80FE-A750E834241C}"/>
                </a:ext>
              </a:extLst>
            </xdr:cNvPr>
            <xdr:cNvSpPr txBox="1"/>
          </xdr:nvSpPr>
          <xdr:spPr>
            <a:xfrm>
              <a:off x="2139550" y="227684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)=47(−1;−2;−1;−3)𝑑𝐵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CA38629-5D37-8C49-BC4A-37800CDA9583}"/>
                </a:ext>
              </a:extLst>
            </xdr:cNvPr>
            <xdr:cNvSpPr txBox="1"/>
          </xdr:nvSpPr>
          <xdr:spPr>
            <a:xfrm>
              <a:off x="2139550" y="259720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=24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−4;−4;−4;−5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CA38629-5D37-8C49-BC4A-37800CDA9583}"/>
                </a:ext>
              </a:extLst>
            </xdr:cNvPr>
            <xdr:cNvSpPr txBox="1"/>
          </xdr:nvSpPr>
          <xdr:spPr>
            <a:xfrm>
              <a:off x="2139550" y="259720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)=24(−4;−4;−4;−5)𝑑𝐵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B9A2EEA-D138-4443-BF59-9BD5CF6C65B8}"/>
                </a:ext>
              </a:extLst>
            </xdr:cNvPr>
            <xdr:cNvSpPr txBox="1"/>
          </xdr:nvSpPr>
          <xdr:spPr>
            <a:xfrm>
              <a:off x="2139550" y="291756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B9A2EEA-D138-4443-BF59-9BD5CF6C65B8}"/>
                </a:ext>
              </a:extLst>
            </xdr:cNvPr>
            <xdr:cNvSpPr txBox="1"/>
          </xdr:nvSpPr>
          <xdr:spPr>
            <a:xfrm>
              <a:off x="2139550" y="291756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)=37(0;−2;0;−3)𝑑𝐵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6869ECB2-C1EF-A445-87FD-653301411C97}"/>
                </a:ext>
              </a:extLst>
            </xdr:cNvPr>
            <xdr:cNvSpPr txBox="1"/>
          </xdr:nvSpPr>
          <xdr:spPr>
            <a:xfrm>
              <a:off x="2139550" y="3237928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−2;−4;−1;−4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6869ECB2-C1EF-A445-87FD-653301411C97}"/>
                </a:ext>
              </a:extLst>
            </xdr:cNvPr>
            <xdr:cNvSpPr txBox="1"/>
          </xdr:nvSpPr>
          <xdr:spPr>
            <a:xfrm>
              <a:off x="2139550" y="3237928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)=41(−2;−4;−1;−4)𝑑𝐵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1C86095-C68B-1146-BFA0-834727F12410}"/>
                </a:ext>
              </a:extLst>
            </xdr:cNvPr>
            <xdr:cNvSpPr txBox="1"/>
          </xdr:nvSpPr>
          <xdr:spPr>
            <a:xfrm>
              <a:off x="2139550" y="355828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=61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1C86095-C68B-1146-BFA0-834727F12410}"/>
                </a:ext>
              </a:extLst>
            </xdr:cNvPr>
            <xdr:cNvSpPr txBox="1"/>
          </xdr:nvSpPr>
          <xdr:spPr>
            <a:xfrm>
              <a:off x="2139550" y="355828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)=61(0;−6;0;−7)𝑑𝐵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7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5F789E0A-D72C-2A4F-8503-D26394729F1A}"/>
                </a:ext>
              </a:extLst>
            </xdr:cNvPr>
            <xdr:cNvSpPr txBox="1"/>
          </xdr:nvSpPr>
          <xdr:spPr>
            <a:xfrm>
              <a:off x="7551351" y="227684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5F789E0A-D72C-2A4F-8503-D26394729F1A}"/>
                </a:ext>
              </a:extLst>
            </xdr:cNvPr>
            <xdr:cNvSpPr txBox="1"/>
          </xdr:nvSpPr>
          <xdr:spPr>
            <a:xfrm>
              <a:off x="7551351" y="227684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)=47(−1;−2;−1;−6)𝑑𝐵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8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49CA166-9C9D-3847-B991-04271AE66FE8}"/>
                </a:ext>
              </a:extLst>
            </xdr:cNvPr>
            <xdr:cNvSpPr txBox="1"/>
          </xdr:nvSpPr>
          <xdr:spPr>
            <a:xfrm>
              <a:off x="7551351" y="259720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=23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−4;−4;−4;−6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49CA166-9C9D-3847-B991-04271AE66FE8}"/>
                </a:ext>
              </a:extLst>
            </xdr:cNvPr>
            <xdr:cNvSpPr txBox="1"/>
          </xdr:nvSpPr>
          <xdr:spPr>
            <a:xfrm>
              <a:off x="7551351" y="2597207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)=23(−4;−4;−4;−6)𝑑𝐵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309657C9-8F10-F847-AA14-25514D308897}"/>
                </a:ext>
              </a:extLst>
            </xdr:cNvPr>
            <xdr:cNvSpPr txBox="1"/>
          </xdr:nvSpPr>
          <xdr:spPr>
            <a:xfrm>
              <a:off x="7551351" y="291756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309657C9-8F10-F847-AA14-25514D308897}"/>
                </a:ext>
              </a:extLst>
            </xdr:cNvPr>
            <xdr:cNvSpPr txBox="1"/>
          </xdr:nvSpPr>
          <xdr:spPr>
            <a:xfrm>
              <a:off x="7551351" y="291756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)=37(0;−2;0;−3)𝑑𝐵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10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F7A02DCF-E0A1-3C41-9510-DACA87D474E9}"/>
                </a:ext>
              </a:extLst>
            </xdr:cNvPr>
            <xdr:cNvSpPr txBox="1"/>
          </xdr:nvSpPr>
          <xdr:spPr>
            <a:xfrm>
              <a:off x="7551351" y="3237928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−2;−4;−1;−5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F7A02DCF-E0A1-3C41-9510-DACA87D474E9}"/>
                </a:ext>
              </a:extLst>
            </xdr:cNvPr>
            <xdr:cNvSpPr txBox="1"/>
          </xdr:nvSpPr>
          <xdr:spPr>
            <a:xfrm>
              <a:off x="7551351" y="3237928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)=41(−2;−4;−1;−5)𝑑𝐵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11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1371023-8800-C440-9DA9-1F348FFB5738}"/>
                </a:ext>
              </a:extLst>
            </xdr:cNvPr>
            <xdr:cNvSpPr txBox="1"/>
          </xdr:nvSpPr>
          <xdr:spPr>
            <a:xfrm>
              <a:off x="7551351" y="355828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=61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1371023-8800-C440-9DA9-1F348FFB5738}"/>
                </a:ext>
              </a:extLst>
            </xdr:cNvPr>
            <xdr:cNvSpPr txBox="1"/>
          </xdr:nvSpPr>
          <xdr:spPr>
            <a:xfrm>
              <a:off x="7551351" y="3558288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)=61(0;−6;0;−8)𝑑𝐵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127000</xdr:colOff>
      <xdr:row>3</xdr:row>
      <xdr:rowOff>228600</xdr:rowOff>
    </xdr:from>
    <xdr:ext cx="535916" cy="257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4DAE0FE-6CD9-CC4D-A793-B83D380A460A}"/>
                </a:ext>
              </a:extLst>
            </xdr:cNvPr>
            <xdr:cNvSpPr txBox="1"/>
          </xdr:nvSpPr>
          <xdr:spPr>
            <a:xfrm>
              <a:off x="127000" y="1312333"/>
              <a:ext cx="535916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4DAE0FE-6CD9-CC4D-A793-B83D380A460A}"/>
                </a:ext>
              </a:extLst>
            </xdr:cNvPr>
            <xdr:cNvSpPr txBox="1"/>
          </xdr:nvSpPr>
          <xdr:spPr>
            <a:xfrm>
              <a:off x="127000" y="1312333"/>
              <a:ext cx="535916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220134</xdr:colOff>
      <xdr:row>9</xdr:row>
      <xdr:rowOff>16934</xdr:rowOff>
    </xdr:from>
    <xdr:ext cx="30848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136C629-0DF5-3D47-9C1E-D934CD0ACBA4}"/>
                </a:ext>
              </a:extLst>
            </xdr:cNvPr>
            <xdr:cNvSpPr txBox="1"/>
          </xdr:nvSpPr>
          <xdr:spPr>
            <a:xfrm>
              <a:off x="220134" y="3031067"/>
              <a:ext cx="30848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136C629-0DF5-3D47-9C1E-D934CD0ACBA4}"/>
                </a:ext>
              </a:extLst>
            </xdr:cNvPr>
            <xdr:cNvSpPr txBox="1"/>
          </xdr:nvSpPr>
          <xdr:spPr>
            <a:xfrm>
              <a:off x="220134" y="3031067"/>
              <a:ext cx="30848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10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34693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FE8EC16-08B8-8F47-95F1-35CBC1DED9B6}"/>
                </a:ext>
              </a:extLst>
            </xdr:cNvPr>
            <xdr:cNvSpPr txBox="1"/>
          </xdr:nvSpPr>
          <xdr:spPr>
            <a:xfrm>
              <a:off x="8107754" y="1672809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FE8EC16-08B8-8F47-95F1-35CBC1DED9B6}"/>
                </a:ext>
              </a:extLst>
            </xdr:cNvPr>
            <xdr:cNvSpPr txBox="1"/>
          </xdr:nvSpPr>
          <xdr:spPr>
            <a:xfrm>
              <a:off x="8107754" y="1672809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</xdr:row>
      <xdr:rowOff>41457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4639AD-BE1C-E247-A0AC-1CC8B02DB90F}"/>
                </a:ext>
              </a:extLst>
            </xdr:cNvPr>
            <xdr:cNvSpPr txBox="1"/>
          </xdr:nvSpPr>
          <xdr:spPr>
            <a:xfrm>
              <a:off x="8107754" y="2001674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4639AD-BE1C-E247-A0AC-1CC8B02DB90F}"/>
                </a:ext>
              </a:extLst>
            </xdr:cNvPr>
            <xdr:cNvSpPr txBox="1"/>
          </xdr:nvSpPr>
          <xdr:spPr>
            <a:xfrm>
              <a:off x="8107754" y="2001674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50−5000)=46+(−6)=40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4</xdr:row>
      <xdr:rowOff>47070</xdr:rowOff>
    </xdr:from>
    <xdr:ext cx="3735574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1F3F67C-E978-984D-B366-D6FD492E5200}"/>
                </a:ext>
              </a:extLst>
            </xdr:cNvPr>
            <xdr:cNvSpPr txBox="1"/>
          </xdr:nvSpPr>
          <xdr:spPr>
            <a:xfrm>
              <a:off x="8107754" y="1040983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1F3F67C-E978-984D-B366-D6FD492E5200}"/>
                </a:ext>
              </a:extLst>
            </xdr:cNvPr>
            <xdr:cNvSpPr txBox="1"/>
          </xdr:nvSpPr>
          <xdr:spPr>
            <a:xfrm>
              <a:off x="8107754" y="1040983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5</xdr:row>
      <xdr:rowOff>40882</xdr:rowOff>
    </xdr:from>
    <xdr:ext cx="3873047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9366D87-D8DC-1B42-AC44-4327958FC728}"/>
                </a:ext>
              </a:extLst>
            </xdr:cNvPr>
            <xdr:cNvSpPr txBox="1"/>
          </xdr:nvSpPr>
          <xdr:spPr>
            <a:xfrm>
              <a:off x="8107754" y="1356896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9366D87-D8DC-1B42-AC44-4327958FC728}"/>
                </a:ext>
              </a:extLst>
            </xdr:cNvPr>
            <xdr:cNvSpPr txBox="1"/>
          </xdr:nvSpPr>
          <xdr:spPr>
            <a:xfrm>
              <a:off x="8107754" y="1356896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+𝐶_𝑡𝑟=46+(−2)=44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</xdr:row>
      <xdr:rowOff>35843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475D7E2-A970-1345-990B-7786DE17D94F}"/>
                </a:ext>
              </a:extLst>
            </xdr:cNvPr>
            <xdr:cNvSpPr txBox="1"/>
          </xdr:nvSpPr>
          <xdr:spPr>
            <a:xfrm>
              <a:off x="8107754" y="2962365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475D7E2-A970-1345-990B-7786DE17D94F}"/>
                </a:ext>
              </a:extLst>
            </xdr:cNvPr>
            <xdr:cNvSpPr txBox="1"/>
          </xdr:nvSpPr>
          <xdr:spPr>
            <a:xfrm>
              <a:off x="8107754" y="2962365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42607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C5C4DAC-AEFB-AF45-9BEE-54AFE567F7F6}"/>
                </a:ext>
              </a:extLst>
            </xdr:cNvPr>
            <xdr:cNvSpPr txBox="1"/>
          </xdr:nvSpPr>
          <xdr:spPr>
            <a:xfrm>
              <a:off x="8107754" y="329123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C5C4DAC-AEFB-AF45-9BEE-54AFE567F7F6}"/>
                </a:ext>
              </a:extLst>
            </xdr:cNvPr>
            <xdr:cNvSpPr txBox="1"/>
          </xdr:nvSpPr>
          <xdr:spPr>
            <a:xfrm>
              <a:off x="8107754" y="329123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50−5000)=25+(−5)=20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</xdr:row>
      <xdr:rowOff>48220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8B24ECD-E84E-3B42-A57E-A7FE5E655848}"/>
                </a:ext>
              </a:extLst>
            </xdr:cNvPr>
            <xdr:cNvSpPr txBox="1"/>
          </xdr:nvSpPr>
          <xdr:spPr>
            <a:xfrm>
              <a:off x="8107754" y="2330539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8B24ECD-E84E-3B42-A57E-A7FE5E655848}"/>
                </a:ext>
              </a:extLst>
            </xdr:cNvPr>
            <xdr:cNvSpPr txBox="1"/>
          </xdr:nvSpPr>
          <xdr:spPr>
            <a:xfrm>
              <a:off x="8107754" y="2330539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</xdr:row>
      <xdr:rowOff>42032</xdr:rowOff>
    </xdr:from>
    <xdr:ext cx="3827779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B56D95A-DAA1-E745-A70D-51F3C740E41D}"/>
                </a:ext>
              </a:extLst>
            </xdr:cNvPr>
            <xdr:cNvSpPr txBox="1"/>
          </xdr:nvSpPr>
          <xdr:spPr>
            <a:xfrm>
              <a:off x="8107754" y="2646452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B56D95A-DAA1-E745-A70D-51F3C740E41D}"/>
                </a:ext>
              </a:extLst>
            </xdr:cNvPr>
            <xdr:cNvSpPr txBox="1"/>
          </xdr:nvSpPr>
          <xdr:spPr>
            <a:xfrm>
              <a:off x="8107754" y="2646452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+𝐶_𝑡𝑟=25+(−4)=21𝑑𝐵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15</xdr:row>
      <xdr:rowOff>43757</xdr:rowOff>
    </xdr:from>
    <xdr:ext cx="495219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099D670-8695-7244-8FD6-7CA0CCFB6954}"/>
                </a:ext>
              </a:extLst>
            </xdr:cNvPr>
            <xdr:cNvSpPr txBox="1"/>
          </xdr:nvSpPr>
          <xdr:spPr>
            <a:xfrm>
              <a:off x="8107754" y="4580786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099D670-8695-7244-8FD6-7CA0CCFB6954}"/>
                </a:ext>
              </a:extLst>
            </xdr:cNvPr>
            <xdr:cNvSpPr txBox="1"/>
          </xdr:nvSpPr>
          <xdr:spPr>
            <a:xfrm>
              <a:off x="8107754" y="4580786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14</xdr:row>
      <xdr:rowOff>36993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D87CCA-CE40-2740-B715-97AF426663DD}"/>
                </a:ext>
              </a:extLst>
            </xdr:cNvPr>
            <xdr:cNvSpPr txBox="1"/>
          </xdr:nvSpPr>
          <xdr:spPr>
            <a:xfrm>
              <a:off x="8107754" y="4251921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D87CCA-CE40-2740-B715-97AF426663DD}"/>
                </a:ext>
              </a:extLst>
            </xdr:cNvPr>
            <xdr:cNvSpPr txBox="1"/>
          </xdr:nvSpPr>
          <xdr:spPr>
            <a:xfrm>
              <a:off x="8107754" y="4251921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50−5000)=35+(−3)=32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</xdr:row>
      <xdr:rowOff>49370</xdr:rowOff>
    </xdr:from>
    <xdr:ext cx="358226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2E85CAB-DC28-C644-9BAA-D24FE3913105}"/>
                </a:ext>
              </a:extLst>
            </xdr:cNvPr>
            <xdr:cNvSpPr txBox="1"/>
          </xdr:nvSpPr>
          <xdr:spPr>
            <a:xfrm>
              <a:off x="8107754" y="3620095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2E85CAB-DC28-C644-9BAA-D24FE3913105}"/>
                </a:ext>
              </a:extLst>
            </xdr:cNvPr>
            <xdr:cNvSpPr txBox="1"/>
          </xdr:nvSpPr>
          <xdr:spPr>
            <a:xfrm>
              <a:off x="8107754" y="3620095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</xdr:row>
      <xdr:rowOff>43182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EE9BFDB-D2CA-7243-B366-F37A8A8D028C}"/>
                </a:ext>
              </a:extLst>
            </xdr:cNvPr>
            <xdr:cNvSpPr txBox="1"/>
          </xdr:nvSpPr>
          <xdr:spPr>
            <a:xfrm>
              <a:off x="8107754" y="393600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EE9BFDB-D2CA-7243-B366-F37A8A8D028C}"/>
                </a:ext>
              </a:extLst>
            </xdr:cNvPr>
            <xdr:cNvSpPr txBox="1"/>
          </xdr:nvSpPr>
          <xdr:spPr>
            <a:xfrm>
              <a:off x="8107754" y="393600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+𝐶_𝑡𝑟=35+(−2)=33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18</xdr:row>
      <xdr:rowOff>38144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08EFE6B-7BF1-7141-B62F-7692E9E119F8}"/>
                </a:ext>
              </a:extLst>
            </xdr:cNvPr>
            <xdr:cNvSpPr txBox="1"/>
          </xdr:nvSpPr>
          <xdr:spPr>
            <a:xfrm>
              <a:off x="8107754" y="5541477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08EFE6B-7BF1-7141-B62F-7692E9E119F8}"/>
                </a:ext>
              </a:extLst>
            </xdr:cNvPr>
            <xdr:cNvSpPr txBox="1"/>
          </xdr:nvSpPr>
          <xdr:spPr>
            <a:xfrm>
              <a:off x="8107754" y="5541477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19</xdr:row>
      <xdr:rowOff>44907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487FAE1-39DB-DE4E-AD23-AB5FC14462DF}"/>
                </a:ext>
              </a:extLst>
            </xdr:cNvPr>
            <xdr:cNvSpPr txBox="1"/>
          </xdr:nvSpPr>
          <xdr:spPr>
            <a:xfrm>
              <a:off x="8107754" y="587034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487FAE1-39DB-DE4E-AD23-AB5FC14462DF}"/>
                </a:ext>
              </a:extLst>
            </xdr:cNvPr>
            <xdr:cNvSpPr txBox="1"/>
          </xdr:nvSpPr>
          <xdr:spPr>
            <a:xfrm>
              <a:off x="8107754" y="587034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50−5000)=39+(−5)=34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50521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D4AAC267-277A-2E4B-AA71-B9839E8F741D}"/>
                </a:ext>
              </a:extLst>
            </xdr:cNvPr>
            <xdr:cNvSpPr txBox="1"/>
          </xdr:nvSpPr>
          <xdr:spPr>
            <a:xfrm>
              <a:off x="8107754" y="4909651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D4AAC267-277A-2E4B-AA71-B9839E8F741D}"/>
                </a:ext>
              </a:extLst>
            </xdr:cNvPr>
            <xdr:cNvSpPr txBox="1"/>
          </xdr:nvSpPr>
          <xdr:spPr>
            <a:xfrm>
              <a:off x="8107754" y="4909651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17</xdr:row>
      <xdr:rowOff>44332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E513132-E582-6D49-9A3D-87988456A0C4}"/>
                </a:ext>
              </a:extLst>
            </xdr:cNvPr>
            <xdr:cNvSpPr txBox="1"/>
          </xdr:nvSpPr>
          <xdr:spPr>
            <a:xfrm>
              <a:off x="8107754" y="522556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E513132-E582-6D49-9A3D-87988456A0C4}"/>
                </a:ext>
              </a:extLst>
            </xdr:cNvPr>
            <xdr:cNvSpPr txBox="1"/>
          </xdr:nvSpPr>
          <xdr:spPr>
            <a:xfrm>
              <a:off x="8107754" y="522556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+𝐶_𝑡𝑟=39+(−3)=36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22</xdr:row>
      <xdr:rowOff>39294</xdr:rowOff>
    </xdr:from>
    <xdr:ext cx="4781886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44AD0F7-F689-954C-9E01-C51311E89F49}"/>
                </a:ext>
              </a:extLst>
            </xdr:cNvPr>
            <xdr:cNvSpPr txBox="1"/>
          </xdr:nvSpPr>
          <xdr:spPr>
            <a:xfrm>
              <a:off x="8107754" y="6831033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44AD0F7-F689-954C-9E01-C51311E89F49}"/>
                </a:ext>
              </a:extLst>
            </xdr:cNvPr>
            <xdr:cNvSpPr txBox="1"/>
          </xdr:nvSpPr>
          <xdr:spPr>
            <a:xfrm>
              <a:off x="8107754" y="6831033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23</xdr:row>
      <xdr:rowOff>46055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3E9C6F7-C8D7-BE4C-8455-A866CD43D4F1}"/>
                </a:ext>
              </a:extLst>
            </xdr:cNvPr>
            <xdr:cNvSpPr txBox="1"/>
          </xdr:nvSpPr>
          <xdr:spPr>
            <a:xfrm>
              <a:off x="8107754" y="715989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3E9C6F7-C8D7-BE4C-8455-A866CD43D4F1}"/>
                </a:ext>
              </a:extLst>
            </xdr:cNvPr>
            <xdr:cNvSpPr txBox="1"/>
          </xdr:nvSpPr>
          <xdr:spPr>
            <a:xfrm>
              <a:off x="8107754" y="715989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50−5000)=60+(−8)=52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20</xdr:row>
      <xdr:rowOff>51671</xdr:rowOff>
    </xdr:from>
    <xdr:ext cx="3411960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555F9EE-73DC-EF49-B0B6-6DEDFAA35619}"/>
                </a:ext>
              </a:extLst>
            </xdr:cNvPr>
            <xdr:cNvSpPr txBox="1"/>
          </xdr:nvSpPr>
          <xdr:spPr>
            <a:xfrm>
              <a:off x="8107754" y="6199207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555F9EE-73DC-EF49-B0B6-6DEDFAA35619}"/>
                </a:ext>
              </a:extLst>
            </xdr:cNvPr>
            <xdr:cNvSpPr txBox="1"/>
          </xdr:nvSpPr>
          <xdr:spPr>
            <a:xfrm>
              <a:off x="8107754" y="6199207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21</xdr:row>
      <xdr:rowOff>45482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D5BE59-6D25-E24D-BAF4-0D120947B578}"/>
                </a:ext>
              </a:extLst>
            </xdr:cNvPr>
            <xdr:cNvSpPr txBox="1"/>
          </xdr:nvSpPr>
          <xdr:spPr>
            <a:xfrm>
              <a:off x="8107754" y="6515120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D5BE59-6D25-E24D-BAF4-0D120947B578}"/>
                </a:ext>
              </a:extLst>
            </xdr:cNvPr>
            <xdr:cNvSpPr txBox="1"/>
          </xdr:nvSpPr>
          <xdr:spPr>
            <a:xfrm>
              <a:off x="8107754" y="6515120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+𝐶_𝑡𝑟=60+(−6)=54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6</xdr:row>
      <xdr:rowOff>33526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DD8F7209-C232-E04B-BF77-74CDF2D5CDB6}"/>
                </a:ext>
              </a:extLst>
            </xdr:cNvPr>
            <xdr:cNvSpPr txBox="1"/>
          </xdr:nvSpPr>
          <xdr:spPr>
            <a:xfrm>
              <a:off x="2479425" y="1671642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DD8F7209-C232-E04B-BF77-74CDF2D5CDB6}"/>
                </a:ext>
              </a:extLst>
            </xdr:cNvPr>
            <xdr:cNvSpPr txBox="1"/>
          </xdr:nvSpPr>
          <xdr:spPr>
            <a:xfrm>
              <a:off x="2479425" y="1671642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7</xdr:row>
      <xdr:rowOff>40359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B252DCA1-BBB2-E345-96B4-A1B64C78A38C}"/>
                </a:ext>
              </a:extLst>
            </xdr:cNvPr>
            <xdr:cNvSpPr txBox="1"/>
          </xdr:nvSpPr>
          <xdr:spPr>
            <a:xfrm>
              <a:off x="2479425" y="200057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B252DCA1-BBB2-E345-96B4-A1B64C78A38C}"/>
                </a:ext>
              </a:extLst>
            </xdr:cNvPr>
            <xdr:cNvSpPr txBox="1"/>
          </xdr:nvSpPr>
          <xdr:spPr>
            <a:xfrm>
              <a:off x="2479425" y="200057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50−5000)=46+(−3)=43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4</xdr:row>
      <xdr:rowOff>45765</xdr:rowOff>
    </xdr:from>
    <xdr:ext cx="3735574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D712F33-B634-E14B-9781-004A0FD9E47A}"/>
                </a:ext>
              </a:extLst>
            </xdr:cNvPr>
            <xdr:cNvSpPr txBox="1"/>
          </xdr:nvSpPr>
          <xdr:spPr>
            <a:xfrm>
              <a:off x="2479425" y="1039678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D712F33-B634-E14B-9781-004A0FD9E47A}"/>
                </a:ext>
              </a:extLst>
            </xdr:cNvPr>
            <xdr:cNvSpPr txBox="1"/>
          </xdr:nvSpPr>
          <xdr:spPr>
            <a:xfrm>
              <a:off x="2479425" y="1039678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5</xdr:row>
      <xdr:rowOff>39646</xdr:rowOff>
    </xdr:from>
    <xdr:ext cx="3873047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B98FF306-54DE-9A4D-8A15-2108E21A6E49}"/>
                </a:ext>
              </a:extLst>
            </xdr:cNvPr>
            <xdr:cNvSpPr txBox="1"/>
          </xdr:nvSpPr>
          <xdr:spPr>
            <a:xfrm>
              <a:off x="2479425" y="1355660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B98FF306-54DE-9A4D-8A15-2108E21A6E49}"/>
                </a:ext>
              </a:extLst>
            </xdr:cNvPr>
            <xdr:cNvSpPr txBox="1"/>
          </xdr:nvSpPr>
          <xdr:spPr>
            <a:xfrm>
              <a:off x="2479425" y="1355660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+𝐶_𝑡𝑟=46+(−2)=44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10</xdr:row>
      <xdr:rowOff>34952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E70EB58-C55F-4147-923C-66B00B9726B8}"/>
                </a:ext>
              </a:extLst>
            </xdr:cNvPr>
            <xdr:cNvSpPr txBox="1"/>
          </xdr:nvSpPr>
          <xdr:spPr>
            <a:xfrm>
              <a:off x="2479425" y="2961474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E70EB58-C55F-4147-923C-66B00B9726B8}"/>
                </a:ext>
              </a:extLst>
            </xdr:cNvPr>
            <xdr:cNvSpPr txBox="1"/>
          </xdr:nvSpPr>
          <xdr:spPr>
            <a:xfrm>
              <a:off x="2479425" y="2961474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11</xdr:row>
      <xdr:rowOff>41785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A93E234-D58A-434B-BA6F-1ED5D6E26C63}"/>
                </a:ext>
              </a:extLst>
            </xdr:cNvPr>
            <xdr:cNvSpPr txBox="1"/>
          </xdr:nvSpPr>
          <xdr:spPr>
            <a:xfrm>
              <a:off x="2479425" y="3290408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A93E234-D58A-434B-BA6F-1ED5D6E26C63}"/>
                </a:ext>
              </a:extLst>
            </xdr:cNvPr>
            <xdr:cNvSpPr txBox="1"/>
          </xdr:nvSpPr>
          <xdr:spPr>
            <a:xfrm>
              <a:off x="2479425" y="3290408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50−5000)=26+(−4)=21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8</xdr:row>
      <xdr:rowOff>47191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FF34324-9745-5C44-A2E4-66DA488B832A}"/>
                </a:ext>
              </a:extLst>
            </xdr:cNvPr>
            <xdr:cNvSpPr txBox="1"/>
          </xdr:nvSpPr>
          <xdr:spPr>
            <a:xfrm>
              <a:off x="2479425" y="2329510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FF34324-9745-5C44-A2E4-66DA488B832A}"/>
                </a:ext>
              </a:extLst>
            </xdr:cNvPr>
            <xdr:cNvSpPr txBox="1"/>
          </xdr:nvSpPr>
          <xdr:spPr>
            <a:xfrm>
              <a:off x="2479425" y="2329510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9</xdr:row>
      <xdr:rowOff>41072</xdr:rowOff>
    </xdr:from>
    <xdr:ext cx="3827779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78572F93-4E54-0941-8FB6-0F7F7CDEF723}"/>
                </a:ext>
              </a:extLst>
            </xdr:cNvPr>
            <xdr:cNvSpPr txBox="1"/>
          </xdr:nvSpPr>
          <xdr:spPr>
            <a:xfrm>
              <a:off x="2479425" y="2645492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78572F93-4E54-0941-8FB6-0F7F7CDEF723}"/>
                </a:ext>
              </a:extLst>
            </xdr:cNvPr>
            <xdr:cNvSpPr txBox="1"/>
          </xdr:nvSpPr>
          <xdr:spPr>
            <a:xfrm>
              <a:off x="2479425" y="2645492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+𝐶_𝑡𝑟=25+(−4)=21𝑑𝐵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14</xdr:row>
      <xdr:rowOff>36378</xdr:rowOff>
    </xdr:from>
    <xdr:ext cx="495219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5897C23-9737-534F-A7A3-B179B72A5C3E}"/>
                </a:ext>
              </a:extLst>
            </xdr:cNvPr>
            <xdr:cNvSpPr txBox="1"/>
          </xdr:nvSpPr>
          <xdr:spPr>
            <a:xfrm>
              <a:off x="2479425" y="4251306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5897C23-9737-534F-A7A3-B179B72A5C3E}"/>
                </a:ext>
              </a:extLst>
            </xdr:cNvPr>
            <xdr:cNvSpPr txBox="1"/>
          </xdr:nvSpPr>
          <xdr:spPr>
            <a:xfrm>
              <a:off x="2479425" y="4251306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15</xdr:row>
      <xdr:rowOff>43211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58F3CE30-23FD-DB4D-A85C-92BB6ED15B52}"/>
                </a:ext>
              </a:extLst>
            </xdr:cNvPr>
            <xdr:cNvSpPr txBox="1"/>
          </xdr:nvSpPr>
          <xdr:spPr>
            <a:xfrm>
              <a:off x="2479425" y="458024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58F3CE30-23FD-DB4D-A85C-92BB6ED15B52}"/>
                </a:ext>
              </a:extLst>
            </xdr:cNvPr>
            <xdr:cNvSpPr txBox="1"/>
          </xdr:nvSpPr>
          <xdr:spPr>
            <a:xfrm>
              <a:off x="2479425" y="458024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50−5000)=35+(−3)=32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12</xdr:row>
      <xdr:rowOff>48617</xdr:rowOff>
    </xdr:from>
    <xdr:ext cx="358226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86444682-238B-864E-A90D-786072D6514C}"/>
                </a:ext>
              </a:extLst>
            </xdr:cNvPr>
            <xdr:cNvSpPr txBox="1"/>
          </xdr:nvSpPr>
          <xdr:spPr>
            <a:xfrm>
              <a:off x="2479425" y="3619342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86444682-238B-864E-A90D-786072D6514C}"/>
                </a:ext>
              </a:extLst>
            </xdr:cNvPr>
            <xdr:cNvSpPr txBox="1"/>
          </xdr:nvSpPr>
          <xdr:spPr>
            <a:xfrm>
              <a:off x="2479425" y="3619342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13</xdr:row>
      <xdr:rowOff>42498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23E53F8-8DCA-3144-B244-F05EC7A2708B}"/>
                </a:ext>
              </a:extLst>
            </xdr:cNvPr>
            <xdr:cNvSpPr txBox="1"/>
          </xdr:nvSpPr>
          <xdr:spPr>
            <a:xfrm>
              <a:off x="2479425" y="393532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23E53F8-8DCA-3144-B244-F05EC7A2708B}"/>
                </a:ext>
              </a:extLst>
            </xdr:cNvPr>
            <xdr:cNvSpPr txBox="1"/>
          </xdr:nvSpPr>
          <xdr:spPr>
            <a:xfrm>
              <a:off x="2479425" y="393532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+𝐶_𝑡𝑟=35+(−2)=33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18</xdr:row>
      <xdr:rowOff>37805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9E4D1CB-C4BD-174C-89E4-8F37BAD60961}"/>
                </a:ext>
              </a:extLst>
            </xdr:cNvPr>
            <xdr:cNvSpPr txBox="1"/>
          </xdr:nvSpPr>
          <xdr:spPr>
            <a:xfrm>
              <a:off x="2479425" y="5541138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9E4D1CB-C4BD-174C-89E4-8F37BAD60961}"/>
                </a:ext>
              </a:extLst>
            </xdr:cNvPr>
            <xdr:cNvSpPr txBox="1"/>
          </xdr:nvSpPr>
          <xdr:spPr>
            <a:xfrm>
              <a:off x="2479425" y="5541138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19</xdr:row>
      <xdr:rowOff>44637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09D56D0-D472-4A49-AE7A-146E5C63F72F}"/>
                </a:ext>
              </a:extLst>
            </xdr:cNvPr>
            <xdr:cNvSpPr txBox="1"/>
          </xdr:nvSpPr>
          <xdr:spPr>
            <a:xfrm>
              <a:off x="2479425" y="587007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09D56D0-D472-4A49-AE7A-146E5C63F72F}"/>
                </a:ext>
              </a:extLst>
            </xdr:cNvPr>
            <xdr:cNvSpPr txBox="1"/>
          </xdr:nvSpPr>
          <xdr:spPr>
            <a:xfrm>
              <a:off x="2479425" y="587007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50−5000)=39+(−4)=35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16</xdr:row>
      <xdr:rowOff>50044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678C4154-9C29-E645-8B05-22C792CC4864}"/>
                </a:ext>
              </a:extLst>
            </xdr:cNvPr>
            <xdr:cNvSpPr txBox="1"/>
          </xdr:nvSpPr>
          <xdr:spPr>
            <a:xfrm>
              <a:off x="2479425" y="4909174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678C4154-9C29-E645-8B05-22C792CC4864}"/>
                </a:ext>
              </a:extLst>
            </xdr:cNvPr>
            <xdr:cNvSpPr txBox="1"/>
          </xdr:nvSpPr>
          <xdr:spPr>
            <a:xfrm>
              <a:off x="2479425" y="4909174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17</xdr:row>
      <xdr:rowOff>43924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74985B6-9153-B845-9584-77D64F2061E1}"/>
                </a:ext>
              </a:extLst>
            </xdr:cNvPr>
            <xdr:cNvSpPr txBox="1"/>
          </xdr:nvSpPr>
          <xdr:spPr>
            <a:xfrm>
              <a:off x="2479425" y="5225156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74985B6-9153-B845-9584-77D64F2061E1}"/>
                </a:ext>
              </a:extLst>
            </xdr:cNvPr>
            <xdr:cNvSpPr txBox="1"/>
          </xdr:nvSpPr>
          <xdr:spPr>
            <a:xfrm>
              <a:off x="2479425" y="5225156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+𝐶_𝑡𝑟=39+(−3)=36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22</xdr:row>
      <xdr:rowOff>39231</xdr:rowOff>
    </xdr:from>
    <xdr:ext cx="4781886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65FBB292-828F-504A-B680-598161FE8696}"/>
                </a:ext>
              </a:extLst>
            </xdr:cNvPr>
            <xdr:cNvSpPr txBox="1"/>
          </xdr:nvSpPr>
          <xdr:spPr>
            <a:xfrm>
              <a:off x="2479425" y="6830970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65FBB292-828F-504A-B680-598161FE8696}"/>
                </a:ext>
              </a:extLst>
            </xdr:cNvPr>
            <xdr:cNvSpPr txBox="1"/>
          </xdr:nvSpPr>
          <xdr:spPr>
            <a:xfrm>
              <a:off x="2479425" y="6830970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3844</xdr:colOff>
      <xdr:row>23</xdr:row>
      <xdr:rowOff>46055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FC97E5A-3BEE-8F4B-9D6D-0FA0803F63C7}"/>
                </a:ext>
              </a:extLst>
            </xdr:cNvPr>
            <xdr:cNvSpPr txBox="1"/>
          </xdr:nvSpPr>
          <xdr:spPr>
            <a:xfrm>
              <a:off x="2488627" y="715989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FC97E5A-3BEE-8F4B-9D6D-0FA0803F63C7}"/>
                </a:ext>
              </a:extLst>
            </xdr:cNvPr>
            <xdr:cNvSpPr txBox="1"/>
          </xdr:nvSpPr>
          <xdr:spPr>
            <a:xfrm>
              <a:off x="2488627" y="715989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50−5000)=60+(−7)=53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20</xdr:row>
      <xdr:rowOff>51470</xdr:rowOff>
    </xdr:from>
    <xdr:ext cx="3411960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EA8F01A-24B0-B343-B34F-DD311F2C234B}"/>
                </a:ext>
              </a:extLst>
            </xdr:cNvPr>
            <xdr:cNvSpPr txBox="1"/>
          </xdr:nvSpPr>
          <xdr:spPr>
            <a:xfrm>
              <a:off x="2479425" y="6199006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EA8F01A-24B0-B343-B34F-DD311F2C234B}"/>
                </a:ext>
              </a:extLst>
            </xdr:cNvPr>
            <xdr:cNvSpPr txBox="1"/>
          </xdr:nvSpPr>
          <xdr:spPr>
            <a:xfrm>
              <a:off x="2479425" y="6199006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822903</xdr:colOff>
      <xdr:row>21</xdr:row>
      <xdr:rowOff>45350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44AC3E58-103C-C941-A95E-EE651B04518D}"/>
                </a:ext>
              </a:extLst>
            </xdr:cNvPr>
            <xdr:cNvSpPr txBox="1"/>
          </xdr:nvSpPr>
          <xdr:spPr>
            <a:xfrm>
              <a:off x="2479425" y="651498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44AC3E58-103C-C941-A95E-EE651B04518D}"/>
                </a:ext>
              </a:extLst>
            </xdr:cNvPr>
            <xdr:cNvSpPr txBox="1"/>
          </xdr:nvSpPr>
          <xdr:spPr>
            <a:xfrm>
              <a:off x="2479425" y="651498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+𝐶_𝑡𝑟=60+(−6)=54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80318</xdr:colOff>
      <xdr:row>13</xdr:row>
      <xdr:rowOff>204958</xdr:rowOff>
    </xdr:from>
    <xdr:ext cx="510204" cy="257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EBE5356-6A8F-894A-BB86-D209B9838C64}"/>
                </a:ext>
              </a:extLst>
            </xdr:cNvPr>
            <xdr:cNvSpPr txBox="1"/>
          </xdr:nvSpPr>
          <xdr:spPr>
            <a:xfrm>
              <a:off x="905818" y="4053058"/>
              <a:ext cx="510204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EBE5356-6A8F-894A-BB86-D209B9838C64}"/>
                </a:ext>
              </a:extLst>
            </xdr:cNvPr>
            <xdr:cNvSpPr txBox="1"/>
          </xdr:nvSpPr>
          <xdr:spPr>
            <a:xfrm>
              <a:off x="905818" y="4053058"/>
              <a:ext cx="510204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28</xdr:row>
      <xdr:rowOff>7743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816EF165-B4D6-7044-A63E-5F4D9DD33DB6}"/>
                </a:ext>
              </a:extLst>
            </xdr:cNvPr>
            <xdr:cNvSpPr txBox="1"/>
          </xdr:nvSpPr>
          <xdr:spPr>
            <a:xfrm>
              <a:off x="2510555" y="8573488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816EF165-B4D6-7044-A63E-5F4D9DD33DB6}"/>
                </a:ext>
              </a:extLst>
            </xdr:cNvPr>
            <xdr:cNvSpPr txBox="1"/>
          </xdr:nvSpPr>
          <xdr:spPr>
            <a:xfrm>
              <a:off x="2510555" y="8573488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29</xdr:row>
      <xdr:rowOff>16612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88">
              <a:extLst>
                <a:ext uri="{FF2B5EF4-FFF2-40B4-BE49-F238E27FC236}">
                  <a16:creationId xmlns:a16="http://schemas.microsoft.com/office/drawing/2014/main" id="{BE652BF3-0A2B-CE48-90D2-CD4454F1FDAA}"/>
                </a:ext>
              </a:extLst>
            </xdr:cNvPr>
            <xdr:cNvSpPr txBox="1"/>
          </xdr:nvSpPr>
          <xdr:spPr>
            <a:xfrm>
              <a:off x="2510555" y="8897605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9" name="CuadroTexto 88">
              <a:extLst>
                <a:ext uri="{FF2B5EF4-FFF2-40B4-BE49-F238E27FC236}">
                  <a16:creationId xmlns:a16="http://schemas.microsoft.com/office/drawing/2014/main" id="{BE652BF3-0A2B-CE48-90D2-CD4454F1FDAA}"/>
                </a:ext>
              </a:extLst>
            </xdr:cNvPr>
            <xdr:cNvSpPr txBox="1"/>
          </xdr:nvSpPr>
          <xdr:spPr>
            <a:xfrm>
              <a:off x="2510555" y="8897605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50−5000)=47+(−3)=44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26</xdr:row>
      <xdr:rowOff>25400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89">
              <a:extLst>
                <a:ext uri="{FF2B5EF4-FFF2-40B4-BE49-F238E27FC236}">
                  <a16:creationId xmlns:a16="http://schemas.microsoft.com/office/drawing/2014/main" id="{C7A3409F-2329-9B49-914C-9C2FF1A51B34}"/>
                </a:ext>
              </a:extLst>
            </xdr:cNvPr>
            <xdr:cNvSpPr txBox="1"/>
          </xdr:nvSpPr>
          <xdr:spPr>
            <a:xfrm>
              <a:off x="2510555" y="796064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0" name="CuadroTexto 89">
              <a:extLst>
                <a:ext uri="{FF2B5EF4-FFF2-40B4-BE49-F238E27FC236}">
                  <a16:creationId xmlns:a16="http://schemas.microsoft.com/office/drawing/2014/main" id="{C7A3409F-2329-9B49-914C-9C2FF1A51B34}"/>
                </a:ext>
              </a:extLst>
            </xdr:cNvPr>
            <xdr:cNvSpPr txBox="1"/>
          </xdr:nvSpPr>
          <xdr:spPr>
            <a:xfrm>
              <a:off x="2510555" y="796064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27</xdr:row>
      <xdr:rowOff>16572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1643BFCE-78EA-754F-985A-A8D58016D419}"/>
                </a:ext>
              </a:extLst>
            </xdr:cNvPr>
            <xdr:cNvSpPr txBox="1"/>
          </xdr:nvSpPr>
          <xdr:spPr>
            <a:xfrm>
              <a:off x="2510555" y="826706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1643BFCE-78EA-754F-985A-A8D58016D419}"/>
                </a:ext>
              </a:extLst>
            </xdr:cNvPr>
            <xdr:cNvSpPr txBox="1"/>
          </xdr:nvSpPr>
          <xdr:spPr>
            <a:xfrm>
              <a:off x="2510555" y="826706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𝑤^′+𝐶_𝑡𝑟=47+(−2)=45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32</xdr:row>
      <xdr:rowOff>7824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B971D384-010E-5E42-A985-B66D4D882936}"/>
                </a:ext>
              </a:extLst>
            </xdr:cNvPr>
            <xdr:cNvSpPr txBox="1"/>
          </xdr:nvSpPr>
          <xdr:spPr>
            <a:xfrm>
              <a:off x="2510555" y="9834562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B971D384-010E-5E42-A985-B66D4D882936}"/>
                </a:ext>
              </a:extLst>
            </xdr:cNvPr>
            <xdr:cNvSpPr txBox="1"/>
          </xdr:nvSpPr>
          <xdr:spPr>
            <a:xfrm>
              <a:off x="2510555" y="9834562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33</xdr:row>
      <xdr:rowOff>16693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9661D939-6FF2-C840-93DD-43A0E80CCF39}"/>
                </a:ext>
              </a:extLst>
            </xdr:cNvPr>
            <xdr:cNvSpPr txBox="1"/>
          </xdr:nvSpPr>
          <xdr:spPr>
            <a:xfrm>
              <a:off x="2510555" y="1015867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=19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9661D939-6FF2-C840-93DD-43A0E80CCF39}"/>
                </a:ext>
              </a:extLst>
            </xdr:cNvPr>
            <xdr:cNvSpPr txBox="1"/>
          </xdr:nvSpPr>
          <xdr:spPr>
            <a:xfrm>
              <a:off x="2510555" y="1015867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50−5000)=24+(−5)=19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30</xdr:row>
      <xdr:rowOff>25481</xdr:rowOff>
    </xdr:from>
    <xdr:ext cx="3437801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217FF6FD-13E7-854D-9629-58152A848BB9}"/>
                </a:ext>
              </a:extLst>
            </xdr:cNvPr>
            <xdr:cNvSpPr txBox="1"/>
          </xdr:nvSpPr>
          <xdr:spPr>
            <a:xfrm>
              <a:off x="2503748" y="9342046"/>
              <a:ext cx="343780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217FF6FD-13E7-854D-9629-58152A848BB9}"/>
                </a:ext>
              </a:extLst>
            </xdr:cNvPr>
            <xdr:cNvSpPr txBox="1"/>
          </xdr:nvSpPr>
          <xdr:spPr>
            <a:xfrm>
              <a:off x="2503748" y="9342046"/>
              <a:ext cx="343780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31</xdr:row>
      <xdr:rowOff>16653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D2D0A36D-BA89-2146-B637-50BD3207D26C}"/>
                </a:ext>
              </a:extLst>
            </xdr:cNvPr>
            <xdr:cNvSpPr txBox="1"/>
          </xdr:nvSpPr>
          <xdr:spPr>
            <a:xfrm>
              <a:off x="2510555" y="9528142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D2D0A36D-BA89-2146-B637-50BD3207D26C}"/>
                </a:ext>
              </a:extLst>
            </xdr:cNvPr>
            <xdr:cNvSpPr txBox="1"/>
          </xdr:nvSpPr>
          <xdr:spPr>
            <a:xfrm>
              <a:off x="2510555" y="9528142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36</xdr:row>
      <xdr:rowOff>7906</xdr:rowOff>
    </xdr:from>
    <xdr:ext cx="448937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95DFFB83-DE8A-A241-8612-E12AB900492F}"/>
                </a:ext>
              </a:extLst>
            </xdr:cNvPr>
            <xdr:cNvSpPr txBox="1"/>
          </xdr:nvSpPr>
          <xdr:spPr>
            <a:xfrm>
              <a:off x="2510555" y="11095636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95DFFB83-DE8A-A241-8612-E12AB900492F}"/>
                </a:ext>
              </a:extLst>
            </xdr:cNvPr>
            <xdr:cNvSpPr txBox="1"/>
          </xdr:nvSpPr>
          <xdr:spPr>
            <a:xfrm>
              <a:off x="2510555" y="11095636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37</xdr:row>
      <xdr:rowOff>16774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830A0F8F-39DB-BA47-87BE-F581FB708917}"/>
                </a:ext>
              </a:extLst>
            </xdr:cNvPr>
            <xdr:cNvSpPr txBox="1"/>
          </xdr:nvSpPr>
          <xdr:spPr>
            <a:xfrm>
              <a:off x="2510555" y="11419753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830A0F8F-39DB-BA47-87BE-F581FB708917}"/>
                </a:ext>
              </a:extLst>
            </xdr:cNvPr>
            <xdr:cNvSpPr txBox="1"/>
          </xdr:nvSpPr>
          <xdr:spPr>
            <a:xfrm>
              <a:off x="2510555" y="11419753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50−5000)=37+(−3)=34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34</xdr:row>
      <xdr:rowOff>25562</xdr:rowOff>
    </xdr:from>
    <xdr:ext cx="3284489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8AE2F343-7DDD-C748-9767-193183E17EFE}"/>
                </a:ext>
              </a:extLst>
            </xdr:cNvPr>
            <xdr:cNvSpPr txBox="1"/>
          </xdr:nvSpPr>
          <xdr:spPr>
            <a:xfrm>
              <a:off x="2510555" y="10482796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8AE2F343-7DDD-C748-9767-193183E17EFE}"/>
                </a:ext>
              </a:extLst>
            </xdr:cNvPr>
            <xdr:cNvSpPr txBox="1"/>
          </xdr:nvSpPr>
          <xdr:spPr>
            <a:xfrm>
              <a:off x="2510555" y="10482796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35</xdr:row>
      <xdr:rowOff>16734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F661DBDE-7E91-7448-B561-62C59D902708}"/>
                </a:ext>
              </a:extLst>
            </xdr:cNvPr>
            <xdr:cNvSpPr txBox="1"/>
          </xdr:nvSpPr>
          <xdr:spPr>
            <a:xfrm>
              <a:off x="2510555" y="10789216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F661DBDE-7E91-7448-B561-62C59D902708}"/>
                </a:ext>
              </a:extLst>
            </xdr:cNvPr>
            <xdr:cNvSpPr txBox="1"/>
          </xdr:nvSpPr>
          <xdr:spPr>
            <a:xfrm>
              <a:off x="2510555" y="10789216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𝑤^′+𝐶_𝑡𝑟=37+(−2)=35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40</xdr:row>
      <xdr:rowOff>7987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0EBEBD4C-344E-0C4A-897B-616EE53C9E64}"/>
                </a:ext>
              </a:extLst>
            </xdr:cNvPr>
            <xdr:cNvSpPr txBox="1"/>
          </xdr:nvSpPr>
          <xdr:spPr>
            <a:xfrm>
              <a:off x="2510555" y="12356710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0EBEBD4C-344E-0C4A-897B-616EE53C9E64}"/>
                </a:ext>
              </a:extLst>
            </xdr:cNvPr>
            <xdr:cNvSpPr txBox="1"/>
          </xdr:nvSpPr>
          <xdr:spPr>
            <a:xfrm>
              <a:off x="2510555" y="12356710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𝑤^′+𝐶_(50−5000)=41+(−1)=40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41</xdr:row>
      <xdr:rowOff>16855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A7BFD27A-E158-5B46-8CD9-5D2FB817A495}"/>
                </a:ext>
              </a:extLst>
            </xdr:cNvPr>
            <xdr:cNvSpPr txBox="1"/>
          </xdr:nvSpPr>
          <xdr:spPr>
            <a:xfrm>
              <a:off x="2510555" y="12680827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A7BFD27A-E158-5B46-8CD9-5D2FB817A495}"/>
                </a:ext>
              </a:extLst>
            </xdr:cNvPr>
            <xdr:cNvSpPr txBox="1"/>
          </xdr:nvSpPr>
          <xdr:spPr>
            <a:xfrm>
              <a:off x="2510555" y="12680827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38</xdr:row>
      <xdr:rowOff>25643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CuadroTexto 101">
              <a:extLst>
                <a:ext uri="{FF2B5EF4-FFF2-40B4-BE49-F238E27FC236}">
                  <a16:creationId xmlns:a16="http://schemas.microsoft.com/office/drawing/2014/main" id="{9CAFCE29-1528-404A-AD74-4B1C6A16B05F}"/>
                </a:ext>
              </a:extLst>
            </xdr:cNvPr>
            <xdr:cNvSpPr txBox="1"/>
          </xdr:nvSpPr>
          <xdr:spPr>
            <a:xfrm>
              <a:off x="2510555" y="11743870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2" name="CuadroTexto 101">
              <a:extLst>
                <a:ext uri="{FF2B5EF4-FFF2-40B4-BE49-F238E27FC236}">
                  <a16:creationId xmlns:a16="http://schemas.microsoft.com/office/drawing/2014/main" id="{9CAFCE29-1528-404A-AD74-4B1C6A16B05F}"/>
                </a:ext>
              </a:extLst>
            </xdr:cNvPr>
            <xdr:cNvSpPr txBox="1"/>
          </xdr:nvSpPr>
          <xdr:spPr>
            <a:xfrm>
              <a:off x="2510555" y="11743870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𝑤^′+𝐶=41+(−2)=39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39</xdr:row>
      <xdr:rowOff>16815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uadroTexto 102">
              <a:extLst>
                <a:ext uri="{FF2B5EF4-FFF2-40B4-BE49-F238E27FC236}">
                  <a16:creationId xmlns:a16="http://schemas.microsoft.com/office/drawing/2014/main" id="{F8A1ECD8-26EC-1B43-AE73-26FD69A35781}"/>
                </a:ext>
              </a:extLst>
            </xdr:cNvPr>
            <xdr:cNvSpPr txBox="1"/>
          </xdr:nvSpPr>
          <xdr:spPr>
            <a:xfrm>
              <a:off x="2510555" y="1205029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3" name="CuadroTexto 102">
              <a:extLst>
                <a:ext uri="{FF2B5EF4-FFF2-40B4-BE49-F238E27FC236}">
                  <a16:creationId xmlns:a16="http://schemas.microsoft.com/office/drawing/2014/main" id="{F8A1ECD8-26EC-1B43-AE73-26FD69A35781}"/>
                </a:ext>
              </a:extLst>
            </xdr:cNvPr>
            <xdr:cNvSpPr txBox="1"/>
          </xdr:nvSpPr>
          <xdr:spPr>
            <a:xfrm>
              <a:off x="2510555" y="1205029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44</xdr:row>
      <xdr:rowOff>8068</xdr:rowOff>
    </xdr:from>
    <xdr:ext cx="4319067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E6C134C8-C733-A949-8F5A-57358813347A}"/>
                </a:ext>
              </a:extLst>
            </xdr:cNvPr>
            <xdr:cNvSpPr txBox="1"/>
          </xdr:nvSpPr>
          <xdr:spPr>
            <a:xfrm>
              <a:off x="2510555" y="13617784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E6C134C8-C733-A949-8F5A-57358813347A}"/>
                </a:ext>
              </a:extLst>
            </xdr:cNvPr>
            <xdr:cNvSpPr txBox="1"/>
          </xdr:nvSpPr>
          <xdr:spPr>
            <a:xfrm>
              <a:off x="2510555" y="13617784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45</xdr:row>
      <xdr:rowOff>16941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uadroTexto 104">
              <a:extLst>
                <a:ext uri="{FF2B5EF4-FFF2-40B4-BE49-F238E27FC236}">
                  <a16:creationId xmlns:a16="http://schemas.microsoft.com/office/drawing/2014/main" id="{2486FADC-BDB2-244A-AEC8-496A6296ACEC}"/>
                </a:ext>
              </a:extLst>
            </xdr:cNvPr>
            <xdr:cNvSpPr txBox="1"/>
          </xdr:nvSpPr>
          <xdr:spPr>
            <a:xfrm>
              <a:off x="2510555" y="1394190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5" name="CuadroTexto 104">
              <a:extLst>
                <a:ext uri="{FF2B5EF4-FFF2-40B4-BE49-F238E27FC236}">
                  <a16:creationId xmlns:a16="http://schemas.microsoft.com/office/drawing/2014/main" id="{2486FADC-BDB2-244A-AEC8-496A6296ACEC}"/>
                </a:ext>
              </a:extLst>
            </xdr:cNvPr>
            <xdr:cNvSpPr txBox="1"/>
          </xdr:nvSpPr>
          <xdr:spPr>
            <a:xfrm>
              <a:off x="2510555" y="1394190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50−5000)=61+(−7)=54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42</xdr:row>
      <xdr:rowOff>25724</xdr:rowOff>
    </xdr:from>
    <xdr:ext cx="3114186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105">
              <a:extLst>
                <a:ext uri="{FF2B5EF4-FFF2-40B4-BE49-F238E27FC236}">
                  <a16:creationId xmlns:a16="http://schemas.microsoft.com/office/drawing/2014/main" id="{65EB6FAF-1C9A-544D-B05D-9ECC1A807984}"/>
                </a:ext>
              </a:extLst>
            </xdr:cNvPr>
            <xdr:cNvSpPr txBox="1"/>
          </xdr:nvSpPr>
          <xdr:spPr>
            <a:xfrm>
              <a:off x="2510555" y="13004944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6" name="CuadroTexto 105">
              <a:extLst>
                <a:ext uri="{FF2B5EF4-FFF2-40B4-BE49-F238E27FC236}">
                  <a16:creationId xmlns:a16="http://schemas.microsoft.com/office/drawing/2014/main" id="{65EB6FAF-1C9A-544D-B05D-9ECC1A807984}"/>
                </a:ext>
              </a:extLst>
            </xdr:cNvPr>
            <xdr:cNvSpPr txBox="1"/>
          </xdr:nvSpPr>
          <xdr:spPr>
            <a:xfrm>
              <a:off x="2510555" y="13004944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186725</xdr:colOff>
      <xdr:row>43</xdr:row>
      <xdr:rowOff>16896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106">
              <a:extLst>
                <a:ext uri="{FF2B5EF4-FFF2-40B4-BE49-F238E27FC236}">
                  <a16:creationId xmlns:a16="http://schemas.microsoft.com/office/drawing/2014/main" id="{E05420DE-B43F-F84B-AB88-8A10A6D78829}"/>
                </a:ext>
              </a:extLst>
            </xdr:cNvPr>
            <xdr:cNvSpPr txBox="1"/>
          </xdr:nvSpPr>
          <xdr:spPr>
            <a:xfrm>
              <a:off x="2510555" y="1331136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7" name="CuadroTexto 106">
              <a:extLst>
                <a:ext uri="{FF2B5EF4-FFF2-40B4-BE49-F238E27FC236}">
                  <a16:creationId xmlns:a16="http://schemas.microsoft.com/office/drawing/2014/main" id="{E05420DE-B43F-F84B-AB88-8A10A6D78829}"/>
                </a:ext>
              </a:extLst>
            </xdr:cNvPr>
            <xdr:cNvSpPr txBox="1"/>
          </xdr:nvSpPr>
          <xdr:spPr>
            <a:xfrm>
              <a:off x="2510555" y="1331136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𝑤^′+𝐶_𝑡𝑟=61+(−6)=55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177800</xdr:colOff>
      <xdr:row>35</xdr:row>
      <xdr:rowOff>215900</xdr:rowOff>
    </xdr:from>
    <xdr:ext cx="2725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107">
              <a:extLst>
                <a:ext uri="{FF2B5EF4-FFF2-40B4-BE49-F238E27FC236}">
                  <a16:creationId xmlns:a16="http://schemas.microsoft.com/office/drawing/2014/main" id="{7E675531-4739-4D4C-BA20-B93869DA7B82}"/>
                </a:ext>
              </a:extLst>
            </xdr:cNvPr>
            <xdr:cNvSpPr txBox="1"/>
          </xdr:nvSpPr>
          <xdr:spPr>
            <a:xfrm>
              <a:off x="1003300" y="11049000"/>
              <a:ext cx="272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8" name="CuadroTexto 107">
              <a:extLst>
                <a:ext uri="{FF2B5EF4-FFF2-40B4-BE49-F238E27FC236}">
                  <a16:creationId xmlns:a16="http://schemas.microsoft.com/office/drawing/2014/main" id="{7E675531-4739-4D4C-BA20-B93869DA7B82}"/>
                </a:ext>
              </a:extLst>
            </xdr:cNvPr>
            <xdr:cNvSpPr txBox="1"/>
          </xdr:nvSpPr>
          <xdr:spPr>
            <a:xfrm>
              <a:off x="1003300" y="11049000"/>
              <a:ext cx="272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𝐴^′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28</xdr:row>
      <xdr:rowOff>15945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108">
              <a:extLst>
                <a:ext uri="{FF2B5EF4-FFF2-40B4-BE49-F238E27FC236}">
                  <a16:creationId xmlns:a16="http://schemas.microsoft.com/office/drawing/2014/main" id="{0A3FAE4E-6D77-6F4A-B876-66D1513E6439}"/>
                </a:ext>
              </a:extLst>
            </xdr:cNvPr>
            <xdr:cNvSpPr txBox="1"/>
          </xdr:nvSpPr>
          <xdr:spPr>
            <a:xfrm>
              <a:off x="8024147" y="862372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9" name="CuadroTexto 108">
              <a:extLst>
                <a:ext uri="{FF2B5EF4-FFF2-40B4-BE49-F238E27FC236}">
                  <a16:creationId xmlns:a16="http://schemas.microsoft.com/office/drawing/2014/main" id="{0A3FAE4E-6D77-6F4A-B876-66D1513E6439}"/>
                </a:ext>
              </a:extLst>
            </xdr:cNvPr>
            <xdr:cNvSpPr txBox="1"/>
          </xdr:nvSpPr>
          <xdr:spPr>
            <a:xfrm>
              <a:off x="8024147" y="862372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29</xdr:row>
      <xdr:rowOff>24681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5737806F-4C61-9944-819E-2242B033689F}"/>
                </a:ext>
              </a:extLst>
            </xdr:cNvPr>
            <xdr:cNvSpPr txBox="1"/>
          </xdr:nvSpPr>
          <xdr:spPr>
            <a:xfrm>
              <a:off x="8024147" y="894995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5737806F-4C61-9944-819E-2242B033689F}"/>
                </a:ext>
              </a:extLst>
            </xdr:cNvPr>
            <xdr:cNvSpPr txBox="1"/>
          </xdr:nvSpPr>
          <xdr:spPr>
            <a:xfrm>
              <a:off x="8024147" y="894995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50−5000)=47+(−6)=41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26</xdr:row>
      <xdr:rowOff>33867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9DD29CDC-AA0D-174C-9A57-81892680F19B}"/>
                </a:ext>
              </a:extLst>
            </xdr:cNvPr>
            <xdr:cNvSpPr txBox="1"/>
          </xdr:nvSpPr>
          <xdr:spPr>
            <a:xfrm>
              <a:off x="8039909" y="796911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9DD29CDC-AA0D-174C-9A57-81892680F19B}"/>
                </a:ext>
              </a:extLst>
            </xdr:cNvPr>
            <xdr:cNvSpPr txBox="1"/>
          </xdr:nvSpPr>
          <xdr:spPr>
            <a:xfrm>
              <a:off x="8039909" y="796911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27</xdr:row>
      <xdr:rowOff>24906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111">
              <a:extLst>
                <a:ext uri="{FF2B5EF4-FFF2-40B4-BE49-F238E27FC236}">
                  <a16:creationId xmlns:a16="http://schemas.microsoft.com/office/drawing/2014/main" id="{D26671BD-0AC5-E246-8B12-9A40538E3FE5}"/>
                </a:ext>
              </a:extLst>
            </xdr:cNvPr>
            <xdr:cNvSpPr txBox="1"/>
          </xdr:nvSpPr>
          <xdr:spPr>
            <a:xfrm>
              <a:off x="8024147" y="83151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2" name="CuadroTexto 111">
              <a:extLst>
                <a:ext uri="{FF2B5EF4-FFF2-40B4-BE49-F238E27FC236}">
                  <a16:creationId xmlns:a16="http://schemas.microsoft.com/office/drawing/2014/main" id="{D26671BD-0AC5-E246-8B12-9A40538E3FE5}"/>
                </a:ext>
              </a:extLst>
            </xdr:cNvPr>
            <xdr:cNvSpPr txBox="1"/>
          </xdr:nvSpPr>
          <xdr:spPr>
            <a:xfrm>
              <a:off x="8024147" y="83151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𝑤^′+𝐶_𝑡𝑟=47+(−2)=45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32</xdr:row>
      <xdr:rowOff>15495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CB545107-93EB-6541-8E25-3B6C31F1266C}"/>
                </a:ext>
              </a:extLst>
            </xdr:cNvPr>
            <xdr:cNvSpPr txBox="1"/>
          </xdr:nvSpPr>
          <xdr:spPr>
            <a:xfrm>
              <a:off x="8024147" y="989327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CB545107-93EB-6541-8E25-3B6C31F1266C}"/>
                </a:ext>
              </a:extLst>
            </xdr:cNvPr>
            <xdr:cNvSpPr txBox="1"/>
          </xdr:nvSpPr>
          <xdr:spPr>
            <a:xfrm>
              <a:off x="8024147" y="989327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𝑤^′+𝐶_(50−5000)=24+(−5)=20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33</xdr:row>
      <xdr:rowOff>24231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991CA68D-76AE-0440-BA64-02CA9881A139}"/>
                </a:ext>
              </a:extLst>
            </xdr:cNvPr>
            <xdr:cNvSpPr txBox="1"/>
          </xdr:nvSpPr>
          <xdr:spPr>
            <a:xfrm>
              <a:off x="8024147" y="1021950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=18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991CA68D-76AE-0440-BA64-02CA9881A139}"/>
                </a:ext>
              </a:extLst>
            </xdr:cNvPr>
            <xdr:cNvSpPr txBox="1"/>
          </xdr:nvSpPr>
          <xdr:spPr>
            <a:xfrm>
              <a:off x="8024147" y="1021950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50−5000)=24+(−6)=18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30</xdr:row>
      <xdr:rowOff>33417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DE289439-EB1A-DF4F-8D4A-2523626E679E}"/>
                </a:ext>
              </a:extLst>
            </xdr:cNvPr>
            <xdr:cNvSpPr txBox="1"/>
          </xdr:nvSpPr>
          <xdr:spPr>
            <a:xfrm>
              <a:off x="8024147" y="927619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DE289439-EB1A-DF4F-8D4A-2523626E679E}"/>
                </a:ext>
              </a:extLst>
            </xdr:cNvPr>
            <xdr:cNvSpPr txBox="1"/>
          </xdr:nvSpPr>
          <xdr:spPr>
            <a:xfrm>
              <a:off x="8024147" y="927619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31</xdr:row>
      <xdr:rowOff>24456</xdr:rowOff>
    </xdr:from>
    <xdr:ext cx="3575274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9652CFBC-8E52-694C-9148-96FE4AA3949B}"/>
                </a:ext>
              </a:extLst>
            </xdr:cNvPr>
            <xdr:cNvSpPr txBox="1"/>
          </xdr:nvSpPr>
          <xdr:spPr>
            <a:xfrm>
              <a:off x="8026571" y="9660945"/>
              <a:ext cx="3575274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9652CFBC-8E52-694C-9148-96FE4AA3949B}"/>
                </a:ext>
              </a:extLst>
            </xdr:cNvPr>
            <xdr:cNvSpPr txBox="1"/>
          </xdr:nvSpPr>
          <xdr:spPr>
            <a:xfrm>
              <a:off x="8026571" y="9660945"/>
              <a:ext cx="3575274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36</xdr:row>
      <xdr:rowOff>15045</xdr:rowOff>
    </xdr:from>
    <xdr:ext cx="448937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20CBBD78-5C53-9847-AE07-B239BD96A996}"/>
                </a:ext>
              </a:extLst>
            </xdr:cNvPr>
            <xdr:cNvSpPr txBox="1"/>
          </xdr:nvSpPr>
          <xdr:spPr>
            <a:xfrm>
              <a:off x="8024147" y="11162823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20CBBD78-5C53-9847-AE07-B239BD96A996}"/>
                </a:ext>
              </a:extLst>
            </xdr:cNvPr>
            <xdr:cNvSpPr txBox="1"/>
          </xdr:nvSpPr>
          <xdr:spPr>
            <a:xfrm>
              <a:off x="8024147" y="11162823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37</xdr:row>
      <xdr:rowOff>23781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41A863A0-CC0E-4D45-810A-33F07863CEF3}"/>
                </a:ext>
              </a:extLst>
            </xdr:cNvPr>
            <xdr:cNvSpPr txBox="1"/>
          </xdr:nvSpPr>
          <xdr:spPr>
            <a:xfrm>
              <a:off x="8024147" y="1148905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41A863A0-CC0E-4D45-810A-33F07863CEF3}"/>
                </a:ext>
              </a:extLst>
            </xdr:cNvPr>
            <xdr:cNvSpPr txBox="1"/>
          </xdr:nvSpPr>
          <xdr:spPr>
            <a:xfrm>
              <a:off x="8024147" y="1148905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50−5000)=37+(−3)=34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34</xdr:row>
      <xdr:rowOff>32967</xdr:rowOff>
    </xdr:from>
    <xdr:ext cx="3284489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118">
              <a:extLst>
                <a:ext uri="{FF2B5EF4-FFF2-40B4-BE49-F238E27FC236}">
                  <a16:creationId xmlns:a16="http://schemas.microsoft.com/office/drawing/2014/main" id="{6F2112D2-897F-874F-9B04-1EB98395CCBA}"/>
                </a:ext>
              </a:extLst>
            </xdr:cNvPr>
            <xdr:cNvSpPr txBox="1"/>
          </xdr:nvSpPr>
          <xdr:spPr>
            <a:xfrm>
              <a:off x="8024147" y="10545745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9" name="CuadroTexto 118">
              <a:extLst>
                <a:ext uri="{FF2B5EF4-FFF2-40B4-BE49-F238E27FC236}">
                  <a16:creationId xmlns:a16="http://schemas.microsoft.com/office/drawing/2014/main" id="{6F2112D2-897F-874F-9B04-1EB98395CCBA}"/>
                </a:ext>
              </a:extLst>
            </xdr:cNvPr>
            <xdr:cNvSpPr txBox="1"/>
          </xdr:nvSpPr>
          <xdr:spPr>
            <a:xfrm>
              <a:off x="8024147" y="10545745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35</xdr:row>
      <xdr:rowOff>24006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96D52FB7-8D2D-954A-830B-E22774B9EB49}"/>
                </a:ext>
              </a:extLst>
            </xdr:cNvPr>
            <xdr:cNvSpPr txBox="1"/>
          </xdr:nvSpPr>
          <xdr:spPr>
            <a:xfrm>
              <a:off x="8024147" y="108542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96D52FB7-8D2D-954A-830B-E22774B9EB49}"/>
                </a:ext>
              </a:extLst>
            </xdr:cNvPr>
            <xdr:cNvSpPr txBox="1"/>
          </xdr:nvSpPr>
          <xdr:spPr>
            <a:xfrm>
              <a:off x="8024147" y="108542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𝑤^′+𝐶_𝑡𝑟=37+(−2)=35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40</xdr:row>
      <xdr:rowOff>14595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46AAD241-48F6-FD4F-8D9D-DB1213420E09}"/>
                </a:ext>
              </a:extLst>
            </xdr:cNvPr>
            <xdr:cNvSpPr txBox="1"/>
          </xdr:nvSpPr>
          <xdr:spPr>
            <a:xfrm>
              <a:off x="8024147" y="1243237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46AAD241-48F6-FD4F-8D9D-DB1213420E09}"/>
                </a:ext>
              </a:extLst>
            </xdr:cNvPr>
            <xdr:cNvSpPr txBox="1"/>
          </xdr:nvSpPr>
          <xdr:spPr>
            <a:xfrm>
              <a:off x="8024147" y="1243237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𝑤^′+𝐶_(50−5000)=41+(−1)=40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41</xdr:row>
      <xdr:rowOff>23331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46355739-9BF2-274E-9F83-E0BE6E93974C}"/>
                </a:ext>
              </a:extLst>
            </xdr:cNvPr>
            <xdr:cNvSpPr txBox="1"/>
          </xdr:nvSpPr>
          <xdr:spPr>
            <a:xfrm>
              <a:off x="8024147" y="1275860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46355739-9BF2-274E-9F83-E0BE6E93974C}"/>
                </a:ext>
              </a:extLst>
            </xdr:cNvPr>
            <xdr:cNvSpPr txBox="1"/>
          </xdr:nvSpPr>
          <xdr:spPr>
            <a:xfrm>
              <a:off x="8024147" y="1275860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50−5000)=41+(−5)=36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38</xdr:row>
      <xdr:rowOff>32517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560A06CC-8B48-834D-9CD7-DFC7CC9F56B2}"/>
                </a:ext>
              </a:extLst>
            </xdr:cNvPr>
            <xdr:cNvSpPr txBox="1"/>
          </xdr:nvSpPr>
          <xdr:spPr>
            <a:xfrm>
              <a:off x="8024147" y="1181529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560A06CC-8B48-834D-9CD7-DFC7CC9F56B2}"/>
                </a:ext>
              </a:extLst>
            </xdr:cNvPr>
            <xdr:cNvSpPr txBox="1"/>
          </xdr:nvSpPr>
          <xdr:spPr>
            <a:xfrm>
              <a:off x="8024147" y="11815295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𝑤^′+𝐶=41+(−2)=39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39</xdr:row>
      <xdr:rowOff>23556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F1ECEE2D-0719-1345-ACB4-397A07A3EB87}"/>
                </a:ext>
              </a:extLst>
            </xdr:cNvPr>
            <xdr:cNvSpPr txBox="1"/>
          </xdr:nvSpPr>
          <xdr:spPr>
            <a:xfrm>
              <a:off x="8024147" y="1212383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F1ECEE2D-0719-1345-ACB4-397A07A3EB87}"/>
                </a:ext>
              </a:extLst>
            </xdr:cNvPr>
            <xdr:cNvSpPr txBox="1"/>
          </xdr:nvSpPr>
          <xdr:spPr>
            <a:xfrm>
              <a:off x="8024147" y="1212383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44</xdr:row>
      <xdr:rowOff>14145</xdr:rowOff>
    </xdr:from>
    <xdr:ext cx="4319067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74A0548F-184B-DF4D-A381-F82B6139F963}"/>
                </a:ext>
              </a:extLst>
            </xdr:cNvPr>
            <xdr:cNvSpPr txBox="1"/>
          </xdr:nvSpPr>
          <xdr:spPr>
            <a:xfrm>
              <a:off x="8024147" y="13701923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74A0548F-184B-DF4D-A381-F82B6139F963}"/>
                </a:ext>
              </a:extLst>
            </xdr:cNvPr>
            <xdr:cNvSpPr txBox="1"/>
          </xdr:nvSpPr>
          <xdr:spPr>
            <a:xfrm>
              <a:off x="8024147" y="13701923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45</xdr:row>
      <xdr:rowOff>22890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276F5F91-D442-8D4B-A46C-DE3BE4C212DA}"/>
                </a:ext>
              </a:extLst>
            </xdr:cNvPr>
            <xdr:cNvSpPr txBox="1"/>
          </xdr:nvSpPr>
          <xdr:spPr>
            <a:xfrm>
              <a:off x="8024147" y="14028168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276F5F91-D442-8D4B-A46C-DE3BE4C212DA}"/>
                </a:ext>
              </a:extLst>
            </xdr:cNvPr>
            <xdr:cNvSpPr txBox="1"/>
          </xdr:nvSpPr>
          <xdr:spPr>
            <a:xfrm>
              <a:off x="8024147" y="14028168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50−5000)=61+(−8)=53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42</xdr:row>
      <xdr:rowOff>32067</xdr:rowOff>
    </xdr:from>
    <xdr:ext cx="3114186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CuadroTexto 126">
              <a:extLst>
                <a:ext uri="{FF2B5EF4-FFF2-40B4-BE49-F238E27FC236}">
                  <a16:creationId xmlns:a16="http://schemas.microsoft.com/office/drawing/2014/main" id="{27005ADA-DA64-9A4A-9AAF-5945EB884251}"/>
                </a:ext>
              </a:extLst>
            </xdr:cNvPr>
            <xdr:cNvSpPr txBox="1"/>
          </xdr:nvSpPr>
          <xdr:spPr>
            <a:xfrm>
              <a:off x="8024147" y="13084845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7" name="CuadroTexto 126">
              <a:extLst>
                <a:ext uri="{FF2B5EF4-FFF2-40B4-BE49-F238E27FC236}">
                  <a16:creationId xmlns:a16="http://schemas.microsoft.com/office/drawing/2014/main" id="{27005ADA-DA64-9A4A-9AAF-5945EB884251}"/>
                </a:ext>
              </a:extLst>
            </xdr:cNvPr>
            <xdr:cNvSpPr txBox="1"/>
          </xdr:nvSpPr>
          <xdr:spPr>
            <a:xfrm>
              <a:off x="8024147" y="13084845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86647</xdr:colOff>
      <xdr:row>43</xdr:row>
      <xdr:rowOff>23106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CuadroTexto 127">
              <a:extLst>
                <a:ext uri="{FF2B5EF4-FFF2-40B4-BE49-F238E27FC236}">
                  <a16:creationId xmlns:a16="http://schemas.microsoft.com/office/drawing/2014/main" id="{EDEC1E18-E378-714F-9C4B-96C7D1884958}"/>
                </a:ext>
              </a:extLst>
            </xdr:cNvPr>
            <xdr:cNvSpPr txBox="1"/>
          </xdr:nvSpPr>
          <xdr:spPr>
            <a:xfrm>
              <a:off x="8024147" y="133933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8" name="CuadroTexto 127">
              <a:extLst>
                <a:ext uri="{FF2B5EF4-FFF2-40B4-BE49-F238E27FC236}">
                  <a16:creationId xmlns:a16="http://schemas.microsoft.com/office/drawing/2014/main" id="{EDEC1E18-E378-714F-9C4B-96C7D1884958}"/>
                </a:ext>
              </a:extLst>
            </xdr:cNvPr>
            <xdr:cNvSpPr txBox="1"/>
          </xdr:nvSpPr>
          <xdr:spPr>
            <a:xfrm>
              <a:off x="8024147" y="1339338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𝑤^′+𝐶_𝑡𝑟=61+(−6)=55 𝑑𝐵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601600</xdr:colOff>
      <xdr:row>135</xdr:row>
      <xdr:rowOff>92667</xdr:rowOff>
    </xdr:from>
    <xdr:to>
      <xdr:col>20</xdr:col>
      <xdr:colOff>322199</xdr:colOff>
      <xdr:row>160</xdr:row>
      <xdr:rowOff>93500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660121</xdr:colOff>
      <xdr:row>161</xdr:row>
      <xdr:rowOff>102717</xdr:rowOff>
    </xdr:from>
    <xdr:to>
      <xdr:col>16</xdr:col>
      <xdr:colOff>129651</xdr:colOff>
      <xdr:row>186</xdr:row>
      <xdr:rowOff>103550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241300</xdr:colOff>
      <xdr:row>0</xdr:row>
      <xdr:rowOff>177800</xdr:rowOff>
    </xdr:from>
    <xdr:to>
      <xdr:col>68</xdr:col>
      <xdr:colOff>584200</xdr:colOff>
      <xdr:row>23</xdr:row>
      <xdr:rowOff>75762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45800" y="177800"/>
          <a:ext cx="7772400" cy="4800162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3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4270375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D3DACAFF-16E2-974D-B9AD-CB3B3126D0D3}"/>
                </a:ext>
              </a:extLst>
            </xdr:cNvPr>
            <xdr:cNvSpPr txBox="1"/>
          </xdr:nvSpPr>
          <xdr:spPr>
            <a:xfrm>
              <a:off x="4270375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146050</xdr:colOff>
      <xdr:row>3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6225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A8DC8CD9-2F9C-A547-952B-8B0D58904B85}"/>
                </a:ext>
              </a:extLst>
            </xdr:cNvPr>
            <xdr:cNvSpPr txBox="1"/>
          </xdr:nvSpPr>
          <xdr:spPr>
            <a:xfrm>
              <a:off x="26225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twoCellAnchor>
    <xdr:from>
      <xdr:col>15</xdr:col>
      <xdr:colOff>0</xdr:colOff>
      <xdr:row>1</xdr:row>
      <xdr:rowOff>38101</xdr:rowOff>
    </xdr:from>
    <xdr:to>
      <xdr:col>28</xdr:col>
      <xdr:colOff>558800</xdr:colOff>
      <xdr:row>25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42</xdr:col>
      <xdr:colOff>558800</xdr:colOff>
      <xdr:row>25</xdr:row>
      <xdr:rowOff>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824786</xdr:colOff>
      <xdr:row>0</xdr:row>
      <xdr:rowOff>185507</xdr:rowOff>
    </xdr:from>
    <xdr:to>
      <xdr:col>56</xdr:col>
      <xdr:colOff>555946</xdr:colOff>
      <xdr:row>24</xdr:row>
      <xdr:rowOff>179718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23963</xdr:colOff>
      <xdr:row>27</xdr:row>
      <xdr:rowOff>31832</xdr:rowOff>
    </xdr:from>
    <xdr:to>
      <xdr:col>28</xdr:col>
      <xdr:colOff>582763</xdr:colOff>
      <xdr:row>51</xdr:row>
      <xdr:rowOff>33867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27</xdr:row>
      <xdr:rowOff>5713</xdr:rowOff>
    </xdr:from>
    <xdr:to>
      <xdr:col>42</xdr:col>
      <xdr:colOff>558800</xdr:colOff>
      <xdr:row>51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812805</xdr:colOff>
      <xdr:row>26</xdr:row>
      <xdr:rowOff>191699</xdr:rowOff>
    </xdr:from>
    <xdr:to>
      <xdr:col>56</xdr:col>
      <xdr:colOff>543965</xdr:colOff>
      <xdr:row>51</xdr:row>
      <xdr:rowOff>1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53</xdr:row>
      <xdr:rowOff>21479</xdr:rowOff>
    </xdr:from>
    <xdr:to>
      <xdr:col>28</xdr:col>
      <xdr:colOff>558800</xdr:colOff>
      <xdr:row>77</xdr:row>
      <xdr:rowOff>16934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819947</xdr:colOff>
      <xdr:row>53</xdr:row>
      <xdr:rowOff>3827</xdr:rowOff>
    </xdr:from>
    <xdr:to>
      <xdr:col>42</xdr:col>
      <xdr:colOff>551770</xdr:colOff>
      <xdr:row>76</xdr:row>
      <xdr:rowOff>186267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805776</xdr:colOff>
      <xdr:row>52</xdr:row>
      <xdr:rowOff>186267</xdr:rowOff>
    </xdr:from>
    <xdr:to>
      <xdr:col>56</xdr:col>
      <xdr:colOff>536936</xdr:colOff>
      <xdr:row>76</xdr:row>
      <xdr:rowOff>186267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812799</xdr:colOff>
      <xdr:row>78</xdr:row>
      <xdr:rowOff>199279</xdr:rowOff>
    </xdr:from>
    <xdr:to>
      <xdr:col>28</xdr:col>
      <xdr:colOff>541866</xdr:colOff>
      <xdr:row>103</xdr:row>
      <xdr:rowOff>16934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819947</xdr:colOff>
      <xdr:row>78</xdr:row>
      <xdr:rowOff>190092</xdr:rowOff>
    </xdr:from>
    <xdr:to>
      <xdr:col>42</xdr:col>
      <xdr:colOff>551770</xdr:colOff>
      <xdr:row>103</xdr:row>
      <xdr:rowOff>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9909</xdr:colOff>
      <xdr:row>78</xdr:row>
      <xdr:rowOff>186266</xdr:rowOff>
    </xdr:from>
    <xdr:to>
      <xdr:col>56</xdr:col>
      <xdr:colOff>570802</xdr:colOff>
      <xdr:row>103</xdr:row>
      <xdr:rowOff>16933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106</xdr:row>
      <xdr:rowOff>13013</xdr:rowOff>
    </xdr:from>
    <xdr:to>
      <xdr:col>28</xdr:col>
      <xdr:colOff>536424</xdr:colOff>
      <xdr:row>130</xdr:row>
      <xdr:rowOff>42334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814505</xdr:colOff>
      <xdr:row>106</xdr:row>
      <xdr:rowOff>3826</xdr:rowOff>
    </xdr:from>
    <xdr:to>
      <xdr:col>42</xdr:col>
      <xdr:colOff>546328</xdr:colOff>
      <xdr:row>130</xdr:row>
      <xdr:rowOff>25400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4467</xdr:colOff>
      <xdr:row>106</xdr:row>
      <xdr:rowOff>0</xdr:rowOff>
    </xdr:from>
    <xdr:to>
      <xdr:col>56</xdr:col>
      <xdr:colOff>565360</xdr:colOff>
      <xdr:row>130</xdr:row>
      <xdr:rowOff>42333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512097</xdr:colOff>
      <xdr:row>132</xdr:row>
      <xdr:rowOff>184355</xdr:rowOff>
    </xdr:from>
    <xdr:to>
      <xdr:col>15</xdr:col>
      <xdr:colOff>608169</xdr:colOff>
      <xdr:row>158</xdr:row>
      <xdr:rowOff>72337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</xdr:col>
      <xdr:colOff>133350</xdr:colOff>
      <xdr:row>3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 txBox="1"/>
          </xdr:nvSpPr>
          <xdr:spPr>
            <a:xfrm>
              <a:off x="1784350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1E1F1563-AE3C-524B-B430-6541978230BB}"/>
                </a:ext>
              </a:extLst>
            </xdr:cNvPr>
            <xdr:cNvSpPr txBox="1"/>
          </xdr:nvSpPr>
          <xdr:spPr>
            <a:xfrm>
              <a:off x="1784350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6</xdr:col>
      <xdr:colOff>171450</xdr:colOff>
      <xdr:row>3</xdr:row>
      <xdr:rowOff>101600</xdr:rowOff>
    </xdr:from>
    <xdr:ext cx="49148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5124450" y="7112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47" name="CuadroTexto 4">
              <a:extLst>
                <a:ext uri="{FF2B5EF4-FFF2-40B4-BE49-F238E27FC236}">
                  <a16:creationId xmlns:a16="http://schemas.microsoft.com/office/drawing/2014/main" id="{D8CBD50B-E7FA-EA4D-9D47-77A4A63E7286}"/>
                </a:ext>
              </a:extLst>
            </xdr:cNvPr>
            <xdr:cNvSpPr txBox="1"/>
          </xdr:nvSpPr>
          <xdr:spPr>
            <a:xfrm>
              <a:off x="5124450" y="7112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142875</xdr:colOff>
      <xdr:row>3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4291542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48" name="CuadroTexto 4">
              <a:extLst>
                <a:ext uri="{FF2B5EF4-FFF2-40B4-BE49-F238E27FC236}">
                  <a16:creationId xmlns:a16="http://schemas.microsoft.com/office/drawing/2014/main" id="{CC15AA95-E986-614B-A7E6-AF40FF49D759}"/>
                </a:ext>
              </a:extLst>
            </xdr:cNvPr>
            <xdr:cNvSpPr txBox="1"/>
          </xdr:nvSpPr>
          <xdr:spPr>
            <a:xfrm>
              <a:off x="4291542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10</xdr:col>
      <xdr:colOff>146050</xdr:colOff>
      <xdr:row>3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 txBox="1"/>
          </xdr:nvSpPr>
          <xdr:spPr>
            <a:xfrm>
              <a:off x="26352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1BA3E2B1-6E99-EC41-A91A-16B5E4F7DCB7}"/>
                </a:ext>
              </a:extLst>
            </xdr:cNvPr>
            <xdr:cNvSpPr txBox="1"/>
          </xdr:nvSpPr>
          <xdr:spPr>
            <a:xfrm>
              <a:off x="26352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9</xdr:col>
      <xdr:colOff>133350</xdr:colOff>
      <xdr:row>3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 txBox="1"/>
          </xdr:nvSpPr>
          <xdr:spPr>
            <a:xfrm>
              <a:off x="1792817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D82C58F9-F388-3346-A166-A971026164F2}"/>
                </a:ext>
              </a:extLst>
            </xdr:cNvPr>
            <xdr:cNvSpPr txBox="1"/>
          </xdr:nvSpPr>
          <xdr:spPr>
            <a:xfrm>
              <a:off x="1792817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13</xdr:col>
      <xdr:colOff>171450</xdr:colOff>
      <xdr:row>3</xdr:row>
      <xdr:rowOff>101600</xdr:rowOff>
    </xdr:from>
    <xdr:ext cx="495072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4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 txBox="1"/>
          </xdr:nvSpPr>
          <xdr:spPr>
            <a:xfrm>
              <a:off x="10957983" y="7112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1" name="CuadroTexto 4">
              <a:extLst>
                <a:ext uri="{FF2B5EF4-FFF2-40B4-BE49-F238E27FC236}">
                  <a16:creationId xmlns:a16="http://schemas.microsoft.com/office/drawing/2014/main" id="{63A98C65-70CC-D94F-B7E1-716F06152DB0}"/>
                </a:ext>
              </a:extLst>
            </xdr:cNvPr>
            <xdr:cNvSpPr txBox="1"/>
          </xdr:nvSpPr>
          <xdr:spPr>
            <a:xfrm>
              <a:off x="10957983" y="7112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142875</xdr:colOff>
      <xdr:row>29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4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 txBox="1"/>
          </xdr:nvSpPr>
          <xdr:spPr>
            <a:xfrm>
              <a:off x="4291542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2" name="CuadroTexto 4">
              <a:extLst>
                <a:ext uri="{FF2B5EF4-FFF2-40B4-BE49-F238E27FC236}">
                  <a16:creationId xmlns:a16="http://schemas.microsoft.com/office/drawing/2014/main" id="{B1AB659D-1C7F-0349-AD0B-F8266AB88E64}"/>
                </a:ext>
              </a:extLst>
            </xdr:cNvPr>
            <xdr:cNvSpPr txBox="1"/>
          </xdr:nvSpPr>
          <xdr:spPr>
            <a:xfrm>
              <a:off x="4291542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146050</xdr:colOff>
      <xdr:row>29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 txBox="1"/>
          </xdr:nvSpPr>
          <xdr:spPr>
            <a:xfrm>
              <a:off x="26352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204336B1-40E4-B448-AD82-39D748BA271A}"/>
                </a:ext>
              </a:extLst>
            </xdr:cNvPr>
            <xdr:cNvSpPr txBox="1"/>
          </xdr:nvSpPr>
          <xdr:spPr>
            <a:xfrm>
              <a:off x="2635250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133350</xdr:colOff>
      <xdr:row>29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 txBox="1"/>
          </xdr:nvSpPr>
          <xdr:spPr>
            <a:xfrm>
              <a:off x="1792817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3F63EBAC-B62C-F944-B12C-E1A78827707E}"/>
                </a:ext>
              </a:extLst>
            </xdr:cNvPr>
            <xdr:cNvSpPr txBox="1"/>
          </xdr:nvSpPr>
          <xdr:spPr>
            <a:xfrm>
              <a:off x="1792817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6</xdr:col>
      <xdr:colOff>171450</xdr:colOff>
      <xdr:row>29</xdr:row>
      <xdr:rowOff>101600</xdr:rowOff>
    </xdr:from>
    <xdr:ext cx="49148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5149850" y="7112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5" name="CuadroTexto 4">
              <a:extLst>
                <a:ext uri="{FF2B5EF4-FFF2-40B4-BE49-F238E27FC236}">
                  <a16:creationId xmlns:a16="http://schemas.microsoft.com/office/drawing/2014/main" id="{C187D5E3-6B3F-9A47-B7CA-908468329CA1}"/>
                </a:ext>
              </a:extLst>
            </xdr:cNvPr>
            <xdr:cNvSpPr txBox="1"/>
          </xdr:nvSpPr>
          <xdr:spPr>
            <a:xfrm>
              <a:off x="5149850" y="7112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142875</xdr:colOff>
      <xdr:row>29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4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 txBox="1"/>
          </xdr:nvSpPr>
          <xdr:spPr>
            <a:xfrm>
              <a:off x="10150475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6" name="CuadroTexto 4">
              <a:extLst>
                <a:ext uri="{FF2B5EF4-FFF2-40B4-BE49-F238E27FC236}">
                  <a16:creationId xmlns:a16="http://schemas.microsoft.com/office/drawing/2014/main" id="{CC925157-6845-7849-B95A-400DE53DE721}"/>
                </a:ext>
              </a:extLst>
            </xdr:cNvPr>
            <xdr:cNvSpPr txBox="1"/>
          </xdr:nvSpPr>
          <xdr:spPr>
            <a:xfrm>
              <a:off x="10150475" y="7302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10</xdr:col>
      <xdr:colOff>146050</xdr:colOff>
      <xdr:row>29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 txBox="1"/>
          </xdr:nvSpPr>
          <xdr:spPr>
            <a:xfrm>
              <a:off x="8443383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2ACB1470-D2A8-224E-B321-6229D831ED86}"/>
                </a:ext>
              </a:extLst>
            </xdr:cNvPr>
            <xdr:cNvSpPr txBox="1"/>
          </xdr:nvSpPr>
          <xdr:spPr>
            <a:xfrm>
              <a:off x="8443383" y="7175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9</xdr:col>
      <xdr:colOff>133350</xdr:colOff>
      <xdr:row>29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 txBox="1"/>
          </xdr:nvSpPr>
          <xdr:spPr>
            <a:xfrm>
              <a:off x="7600950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C6AF113F-F90D-7549-8E8B-215C8636DF1D}"/>
                </a:ext>
              </a:extLst>
            </xdr:cNvPr>
            <xdr:cNvSpPr txBox="1"/>
          </xdr:nvSpPr>
          <xdr:spPr>
            <a:xfrm>
              <a:off x="7600950" y="7302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13</xdr:col>
      <xdr:colOff>171450</xdr:colOff>
      <xdr:row>29</xdr:row>
      <xdr:rowOff>101600</xdr:rowOff>
    </xdr:from>
    <xdr:ext cx="495072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4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 txBox="1"/>
          </xdr:nvSpPr>
          <xdr:spPr>
            <a:xfrm>
              <a:off x="11008783" y="7112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9" name="CuadroTexto 4">
              <a:extLst>
                <a:ext uri="{FF2B5EF4-FFF2-40B4-BE49-F238E27FC236}">
                  <a16:creationId xmlns:a16="http://schemas.microsoft.com/office/drawing/2014/main" id="{6D5BAA11-66B7-CF4A-A14C-9A479D1B4DB9}"/>
                </a:ext>
              </a:extLst>
            </xdr:cNvPr>
            <xdr:cNvSpPr txBox="1"/>
          </xdr:nvSpPr>
          <xdr:spPr>
            <a:xfrm>
              <a:off x="11008783" y="7112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142875</xdr:colOff>
      <xdr:row>55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4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 txBox="1"/>
          </xdr:nvSpPr>
          <xdr:spPr>
            <a:xfrm>
              <a:off x="4291542" y="62420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0" name="CuadroTexto 4">
              <a:extLst>
                <a:ext uri="{FF2B5EF4-FFF2-40B4-BE49-F238E27FC236}">
                  <a16:creationId xmlns:a16="http://schemas.microsoft.com/office/drawing/2014/main" id="{9BE7AF6F-BF78-ED40-B5E4-FD84D43BE9EB}"/>
                </a:ext>
              </a:extLst>
            </xdr:cNvPr>
            <xdr:cNvSpPr txBox="1"/>
          </xdr:nvSpPr>
          <xdr:spPr>
            <a:xfrm>
              <a:off x="4291542" y="62420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146050</xdr:colOff>
      <xdr:row>55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 txBox="1"/>
          </xdr:nvSpPr>
          <xdr:spPr>
            <a:xfrm>
              <a:off x="2635250" y="62293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AF5F887B-B76C-4A4D-B849-790D3CC7E4F2}"/>
                </a:ext>
              </a:extLst>
            </xdr:cNvPr>
            <xdr:cNvSpPr txBox="1"/>
          </xdr:nvSpPr>
          <xdr:spPr>
            <a:xfrm>
              <a:off x="2635250" y="62293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133350</xdr:colOff>
      <xdr:row>55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 txBox="1"/>
          </xdr:nvSpPr>
          <xdr:spPr>
            <a:xfrm>
              <a:off x="1792817" y="62420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93A3C452-4B17-2140-8514-9B453646787C}"/>
                </a:ext>
              </a:extLst>
            </xdr:cNvPr>
            <xdr:cNvSpPr txBox="1"/>
          </xdr:nvSpPr>
          <xdr:spPr>
            <a:xfrm>
              <a:off x="1792817" y="62420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6</xdr:col>
      <xdr:colOff>171450</xdr:colOff>
      <xdr:row>55</xdr:row>
      <xdr:rowOff>101600</xdr:rowOff>
    </xdr:from>
    <xdr:ext cx="49148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4">
              <a:extLst>
                <a:ext uri="{FF2B5EF4-FFF2-40B4-BE49-F238E27FC236}">
                  <a16:creationId xmlns:a16="http://schemas.microsoft.com/office/drawing/2014/main" id="{00000000-0008-0000-0300-000040000000}"/>
                </a:ext>
              </a:extLst>
            </xdr:cNvPr>
            <xdr:cNvSpPr txBox="1"/>
          </xdr:nvSpPr>
          <xdr:spPr>
            <a:xfrm>
              <a:off x="5149850" y="62230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4" name="CuadroTexto 4">
              <a:extLst>
                <a:ext uri="{FF2B5EF4-FFF2-40B4-BE49-F238E27FC236}">
                  <a16:creationId xmlns:a16="http://schemas.microsoft.com/office/drawing/2014/main" id="{F4BB8ED9-8670-7747-90B9-8AF93E00FCE4}"/>
                </a:ext>
              </a:extLst>
            </xdr:cNvPr>
            <xdr:cNvSpPr txBox="1"/>
          </xdr:nvSpPr>
          <xdr:spPr>
            <a:xfrm>
              <a:off x="5149850" y="62230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142875</xdr:colOff>
      <xdr:row>55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4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SpPr txBox="1"/>
          </xdr:nvSpPr>
          <xdr:spPr>
            <a:xfrm>
              <a:off x="4291542" y="117538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5" name="CuadroTexto 4">
              <a:extLst>
                <a:ext uri="{FF2B5EF4-FFF2-40B4-BE49-F238E27FC236}">
                  <a16:creationId xmlns:a16="http://schemas.microsoft.com/office/drawing/2014/main" id="{A117D08D-0AF5-824D-8BC2-7BB349C7B6C1}"/>
                </a:ext>
              </a:extLst>
            </xdr:cNvPr>
            <xdr:cNvSpPr txBox="1"/>
          </xdr:nvSpPr>
          <xdr:spPr>
            <a:xfrm>
              <a:off x="4291542" y="117538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10</xdr:col>
      <xdr:colOff>146050</xdr:colOff>
      <xdr:row>55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SpPr txBox="1"/>
          </xdr:nvSpPr>
          <xdr:spPr>
            <a:xfrm>
              <a:off x="2635250" y="117411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51EF0556-BA38-2349-9740-E4EAF63B5390}"/>
                </a:ext>
              </a:extLst>
            </xdr:cNvPr>
            <xdr:cNvSpPr txBox="1"/>
          </xdr:nvSpPr>
          <xdr:spPr>
            <a:xfrm>
              <a:off x="2635250" y="117411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9</xdr:col>
      <xdr:colOff>133350</xdr:colOff>
      <xdr:row>55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SpPr txBox="1"/>
          </xdr:nvSpPr>
          <xdr:spPr>
            <a:xfrm>
              <a:off x="1792817" y="117538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02180AC8-C2EC-8142-BB2D-DF0C73E54089}"/>
                </a:ext>
              </a:extLst>
            </xdr:cNvPr>
            <xdr:cNvSpPr txBox="1"/>
          </xdr:nvSpPr>
          <xdr:spPr>
            <a:xfrm>
              <a:off x="1792817" y="117538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13</xdr:col>
      <xdr:colOff>171450</xdr:colOff>
      <xdr:row>55</xdr:row>
      <xdr:rowOff>101600</xdr:rowOff>
    </xdr:from>
    <xdr:ext cx="495072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4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SpPr txBox="1"/>
          </xdr:nvSpPr>
          <xdr:spPr>
            <a:xfrm>
              <a:off x="11008783" y="117348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8" name="CuadroTexto 4">
              <a:extLst>
                <a:ext uri="{FF2B5EF4-FFF2-40B4-BE49-F238E27FC236}">
                  <a16:creationId xmlns:a16="http://schemas.microsoft.com/office/drawing/2014/main" id="{8F436A21-C89C-B04D-8DF1-C1C3E0DE8787}"/>
                </a:ext>
              </a:extLst>
            </xdr:cNvPr>
            <xdr:cNvSpPr txBox="1"/>
          </xdr:nvSpPr>
          <xdr:spPr>
            <a:xfrm>
              <a:off x="11008783" y="117348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142875</xdr:colOff>
      <xdr:row>81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4">
              <a:extLst>
                <a:ext uri="{FF2B5EF4-FFF2-40B4-BE49-F238E27FC236}">
                  <a16:creationId xmlns:a16="http://schemas.microsoft.com/office/drawing/2014/main" id="{00000000-0008-0000-0300-000045000000}"/>
                </a:ext>
              </a:extLst>
            </xdr:cNvPr>
            <xdr:cNvSpPr txBox="1"/>
          </xdr:nvSpPr>
          <xdr:spPr>
            <a:xfrm>
              <a:off x="4291542" y="117538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9" name="CuadroTexto 4">
              <a:extLst>
                <a:ext uri="{FF2B5EF4-FFF2-40B4-BE49-F238E27FC236}">
                  <a16:creationId xmlns:a16="http://schemas.microsoft.com/office/drawing/2014/main" id="{8A565F83-E820-124A-A690-48179378DCF9}"/>
                </a:ext>
              </a:extLst>
            </xdr:cNvPr>
            <xdr:cNvSpPr txBox="1"/>
          </xdr:nvSpPr>
          <xdr:spPr>
            <a:xfrm>
              <a:off x="4291542" y="117538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146050</xdr:colOff>
      <xdr:row>81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00000000-0008-0000-0300-000046000000}"/>
                </a:ext>
              </a:extLst>
            </xdr:cNvPr>
            <xdr:cNvSpPr txBox="1"/>
          </xdr:nvSpPr>
          <xdr:spPr>
            <a:xfrm>
              <a:off x="2635250" y="117411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9D2C7214-6F6F-424D-8241-95AE8E2C2D43}"/>
                </a:ext>
              </a:extLst>
            </xdr:cNvPr>
            <xdr:cNvSpPr txBox="1"/>
          </xdr:nvSpPr>
          <xdr:spPr>
            <a:xfrm>
              <a:off x="2635250" y="117411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133350</xdr:colOff>
      <xdr:row>81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SpPr txBox="1"/>
          </xdr:nvSpPr>
          <xdr:spPr>
            <a:xfrm>
              <a:off x="1792817" y="117538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9E861111-9953-6D4B-A4CF-BB484517E572}"/>
                </a:ext>
              </a:extLst>
            </xdr:cNvPr>
            <xdr:cNvSpPr txBox="1"/>
          </xdr:nvSpPr>
          <xdr:spPr>
            <a:xfrm>
              <a:off x="1792817" y="117538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6</xdr:col>
      <xdr:colOff>171450</xdr:colOff>
      <xdr:row>81</xdr:row>
      <xdr:rowOff>101600</xdr:rowOff>
    </xdr:from>
    <xdr:ext cx="49148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4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SpPr txBox="1"/>
          </xdr:nvSpPr>
          <xdr:spPr>
            <a:xfrm>
              <a:off x="5149850" y="117348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2" name="CuadroTexto 4">
              <a:extLst>
                <a:ext uri="{FF2B5EF4-FFF2-40B4-BE49-F238E27FC236}">
                  <a16:creationId xmlns:a16="http://schemas.microsoft.com/office/drawing/2014/main" id="{42111844-2A70-8341-8913-4C1BB0F6FDAE}"/>
                </a:ext>
              </a:extLst>
            </xdr:cNvPr>
            <xdr:cNvSpPr txBox="1"/>
          </xdr:nvSpPr>
          <xdr:spPr>
            <a:xfrm>
              <a:off x="5149850" y="117348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142875</xdr:colOff>
      <xdr:row>81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4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 txBox="1"/>
          </xdr:nvSpPr>
          <xdr:spPr>
            <a:xfrm>
              <a:off x="4291542" y="17265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3" name="CuadroTexto 4">
              <a:extLst>
                <a:ext uri="{FF2B5EF4-FFF2-40B4-BE49-F238E27FC236}">
                  <a16:creationId xmlns:a16="http://schemas.microsoft.com/office/drawing/2014/main" id="{693E1E3C-09AC-FB47-A4C0-C4BF3D7DAAFD}"/>
                </a:ext>
              </a:extLst>
            </xdr:cNvPr>
            <xdr:cNvSpPr txBox="1"/>
          </xdr:nvSpPr>
          <xdr:spPr>
            <a:xfrm>
              <a:off x="4291542" y="17265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10</xdr:col>
      <xdr:colOff>146050</xdr:colOff>
      <xdr:row>81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2635250" y="172529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B9532F8E-7485-604C-A4FB-7D82D457B6F5}"/>
                </a:ext>
              </a:extLst>
            </xdr:cNvPr>
            <xdr:cNvSpPr txBox="1"/>
          </xdr:nvSpPr>
          <xdr:spPr>
            <a:xfrm>
              <a:off x="2635250" y="172529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9</xdr:col>
      <xdr:colOff>133350</xdr:colOff>
      <xdr:row>81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SpPr txBox="1"/>
          </xdr:nvSpPr>
          <xdr:spPr>
            <a:xfrm>
              <a:off x="1792817" y="17265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667B6DFE-7703-8547-BCB8-6BC1EA349C71}"/>
                </a:ext>
              </a:extLst>
            </xdr:cNvPr>
            <xdr:cNvSpPr txBox="1"/>
          </xdr:nvSpPr>
          <xdr:spPr>
            <a:xfrm>
              <a:off x="1792817" y="17265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13</xdr:col>
      <xdr:colOff>171450</xdr:colOff>
      <xdr:row>81</xdr:row>
      <xdr:rowOff>101600</xdr:rowOff>
    </xdr:from>
    <xdr:ext cx="495072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4">
              <a:extLst>
                <a:ext uri="{FF2B5EF4-FFF2-40B4-BE49-F238E27FC236}">
                  <a16:creationId xmlns:a16="http://schemas.microsoft.com/office/drawing/2014/main" id="{00000000-0008-0000-0300-00004C000000}"/>
                </a:ext>
              </a:extLst>
            </xdr:cNvPr>
            <xdr:cNvSpPr txBox="1"/>
          </xdr:nvSpPr>
          <xdr:spPr>
            <a:xfrm>
              <a:off x="11008783" y="172466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6" name="CuadroTexto 4">
              <a:extLst>
                <a:ext uri="{FF2B5EF4-FFF2-40B4-BE49-F238E27FC236}">
                  <a16:creationId xmlns:a16="http://schemas.microsoft.com/office/drawing/2014/main" id="{605D469B-753F-7D4D-85E2-C44DA6BEEAC2}"/>
                </a:ext>
              </a:extLst>
            </xdr:cNvPr>
            <xdr:cNvSpPr txBox="1"/>
          </xdr:nvSpPr>
          <xdr:spPr>
            <a:xfrm>
              <a:off x="11008783" y="172466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142875</xdr:colOff>
      <xdr:row>108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4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 txBox="1"/>
          </xdr:nvSpPr>
          <xdr:spPr>
            <a:xfrm>
              <a:off x="4291542" y="17265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7" name="CuadroTexto 4">
              <a:extLst>
                <a:ext uri="{FF2B5EF4-FFF2-40B4-BE49-F238E27FC236}">
                  <a16:creationId xmlns:a16="http://schemas.microsoft.com/office/drawing/2014/main" id="{47140EB1-5B2A-5740-927B-ED78AC368329}"/>
                </a:ext>
              </a:extLst>
            </xdr:cNvPr>
            <xdr:cNvSpPr txBox="1"/>
          </xdr:nvSpPr>
          <xdr:spPr>
            <a:xfrm>
              <a:off x="4291542" y="17265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146050</xdr:colOff>
      <xdr:row>108</xdr:row>
      <xdr:rowOff>107950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>
              <a:off x="2635250" y="172529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A6E8B8C0-C3A9-3048-82B3-D540D7D48366}"/>
                </a:ext>
              </a:extLst>
            </xdr:cNvPr>
            <xdr:cNvSpPr txBox="1"/>
          </xdr:nvSpPr>
          <xdr:spPr>
            <a:xfrm>
              <a:off x="2635250" y="17252950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133350</xdr:colOff>
      <xdr:row>108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1792817" y="17265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FADD357C-ACE7-884A-8D03-60B46E2527E7}"/>
                </a:ext>
              </a:extLst>
            </xdr:cNvPr>
            <xdr:cNvSpPr txBox="1"/>
          </xdr:nvSpPr>
          <xdr:spPr>
            <a:xfrm>
              <a:off x="1792817" y="17265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6</xdr:col>
      <xdr:colOff>171450</xdr:colOff>
      <xdr:row>108</xdr:row>
      <xdr:rowOff>101600</xdr:rowOff>
    </xdr:from>
    <xdr:ext cx="49148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4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 txBox="1"/>
          </xdr:nvSpPr>
          <xdr:spPr>
            <a:xfrm>
              <a:off x="5149850" y="172466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0" name="CuadroTexto 4">
              <a:extLst>
                <a:ext uri="{FF2B5EF4-FFF2-40B4-BE49-F238E27FC236}">
                  <a16:creationId xmlns:a16="http://schemas.microsoft.com/office/drawing/2014/main" id="{73D922F7-F8AA-BD43-9AFC-BCA69C37B2EE}"/>
                </a:ext>
              </a:extLst>
            </xdr:cNvPr>
            <xdr:cNvSpPr txBox="1"/>
          </xdr:nvSpPr>
          <xdr:spPr>
            <a:xfrm>
              <a:off x="5149850" y="17246600"/>
              <a:ext cx="49148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142875</xdr:colOff>
      <xdr:row>108</xdr:row>
      <xdr:rowOff>120650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4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4291542" y="22980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1" name="CuadroTexto 4">
              <a:extLst>
                <a:ext uri="{FF2B5EF4-FFF2-40B4-BE49-F238E27FC236}">
                  <a16:creationId xmlns:a16="http://schemas.microsoft.com/office/drawing/2014/main" id="{7164DFD9-9389-DA41-AFF2-B59C0662715B}"/>
                </a:ext>
              </a:extLst>
            </xdr:cNvPr>
            <xdr:cNvSpPr txBox="1"/>
          </xdr:nvSpPr>
          <xdr:spPr>
            <a:xfrm>
              <a:off x="4291542" y="22980650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10</xdr:col>
      <xdr:colOff>146050</xdr:colOff>
      <xdr:row>108</xdr:row>
      <xdr:rowOff>124883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 txBox="1"/>
          </xdr:nvSpPr>
          <xdr:spPr>
            <a:xfrm>
              <a:off x="8443383" y="2298488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8FF8D42B-1F83-874F-8ECB-E1317D85AF45}"/>
                </a:ext>
              </a:extLst>
            </xdr:cNvPr>
            <xdr:cNvSpPr txBox="1"/>
          </xdr:nvSpPr>
          <xdr:spPr>
            <a:xfrm>
              <a:off x="8443383" y="2298488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9</xdr:col>
      <xdr:colOff>133350</xdr:colOff>
      <xdr:row>108</xdr:row>
      <xdr:rowOff>120650</xdr:rowOff>
    </xdr:from>
    <xdr:ext cx="5221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1792817" y="22980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35AAAC2A-C897-9247-87D2-BB2C2FB2338B}"/>
                </a:ext>
              </a:extLst>
            </xdr:cNvPr>
            <xdr:cNvSpPr txBox="1"/>
          </xdr:nvSpPr>
          <xdr:spPr>
            <a:xfrm>
              <a:off x="1792817" y="22980650"/>
              <a:ext cx="5221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𝑖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13</xdr:col>
      <xdr:colOff>162983</xdr:colOff>
      <xdr:row>108</xdr:row>
      <xdr:rowOff>127000</xdr:rowOff>
    </xdr:from>
    <xdr:ext cx="495072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>
              <a:off x="11000316" y="229870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4" name="CuadroTexto 4">
              <a:extLst>
                <a:ext uri="{FF2B5EF4-FFF2-40B4-BE49-F238E27FC236}">
                  <a16:creationId xmlns:a16="http://schemas.microsoft.com/office/drawing/2014/main" id="{C8F1FF69-4338-EB49-99B5-FB3899110965}"/>
                </a:ext>
              </a:extLst>
            </xdr:cNvPr>
            <xdr:cNvSpPr txBox="1"/>
          </xdr:nvSpPr>
          <xdr:spPr>
            <a:xfrm>
              <a:off x="11000316" y="22987000"/>
              <a:ext cx="495072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302173</xdr:colOff>
      <xdr:row>27</xdr:row>
      <xdr:rowOff>45107</xdr:rowOff>
    </xdr:from>
    <xdr:to>
      <xdr:col>74</xdr:col>
      <xdr:colOff>657773</xdr:colOff>
      <xdr:row>62</xdr:row>
      <xdr:rowOff>73782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94242" y="6000969"/>
          <a:ext cx="7844221" cy="7564242"/>
        </a:xfrm>
        <a:prstGeom prst="rect">
          <a:avLst/>
        </a:prstGeom>
      </xdr:spPr>
    </xdr:pic>
    <xdr:clientData/>
  </xdr:twoCellAnchor>
  <xdr:twoCellAnchor>
    <xdr:from>
      <xdr:col>23</xdr:col>
      <xdr:colOff>12701</xdr:colOff>
      <xdr:row>1</xdr:row>
      <xdr:rowOff>43093</xdr:rowOff>
    </xdr:from>
    <xdr:to>
      <xdr:col>36</xdr:col>
      <xdr:colOff>516468</xdr:colOff>
      <xdr:row>24</xdr:row>
      <xdr:rowOff>175172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783168</xdr:colOff>
      <xdr:row>1</xdr:row>
      <xdr:rowOff>4993</xdr:rowOff>
    </xdr:from>
    <xdr:to>
      <xdr:col>50</xdr:col>
      <xdr:colOff>457201</xdr:colOff>
      <xdr:row>24</xdr:row>
      <xdr:rowOff>177207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770467</xdr:colOff>
      <xdr:row>26</xdr:row>
      <xdr:rowOff>169333</xdr:rowOff>
    </xdr:from>
    <xdr:to>
      <xdr:col>50</xdr:col>
      <xdr:colOff>444500</xdr:colOff>
      <xdr:row>50</xdr:row>
      <xdr:rowOff>138348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770467</xdr:colOff>
      <xdr:row>54</xdr:row>
      <xdr:rowOff>0</xdr:rowOff>
    </xdr:from>
    <xdr:to>
      <xdr:col>50</xdr:col>
      <xdr:colOff>444500</xdr:colOff>
      <xdr:row>77</xdr:row>
      <xdr:rowOff>172215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799330</xdr:colOff>
      <xdr:row>80</xdr:row>
      <xdr:rowOff>173182</xdr:rowOff>
    </xdr:from>
    <xdr:to>
      <xdr:col>50</xdr:col>
      <xdr:colOff>473363</xdr:colOff>
      <xdr:row>104</xdr:row>
      <xdr:rowOff>143351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770467</xdr:colOff>
      <xdr:row>108</xdr:row>
      <xdr:rowOff>0</xdr:rowOff>
    </xdr:from>
    <xdr:to>
      <xdr:col>50</xdr:col>
      <xdr:colOff>444500</xdr:colOff>
      <xdr:row>131</xdr:row>
      <xdr:rowOff>175611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28911</xdr:colOff>
      <xdr:row>134</xdr:row>
      <xdr:rowOff>81775</xdr:rowOff>
    </xdr:from>
    <xdr:to>
      <xdr:col>23</xdr:col>
      <xdr:colOff>278781</xdr:colOff>
      <xdr:row>160</xdr:row>
      <xdr:rowOff>81879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124507</xdr:colOff>
      <xdr:row>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11913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F6A01CA7-7EDE-9A48-9CED-DF24FA9CDBFB}"/>
                </a:ext>
              </a:extLst>
            </xdr:cNvPr>
            <xdr:cNvSpPr txBox="1"/>
          </xdr:nvSpPr>
          <xdr:spPr>
            <a:xfrm>
              <a:off x="11913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20256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773436A-3B72-EF4E-A4D7-EC8ACDDAB3E2}"/>
                </a:ext>
              </a:extLst>
            </xdr:cNvPr>
            <xdr:cNvSpPr txBox="1"/>
          </xdr:nvSpPr>
          <xdr:spPr>
            <a:xfrm>
              <a:off x="20256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28765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153387BC-9594-6640-B38A-FAC0A1377F25}"/>
                </a:ext>
              </a:extLst>
            </xdr:cNvPr>
            <xdr:cNvSpPr txBox="1"/>
          </xdr:nvSpPr>
          <xdr:spPr>
            <a:xfrm>
              <a:off x="28765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3302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7520FD23-1096-7946-A830-0CECBFD1A5C5}"/>
                </a:ext>
              </a:extLst>
            </xdr:cNvPr>
            <xdr:cNvSpPr txBox="1"/>
          </xdr:nvSpPr>
          <xdr:spPr>
            <a:xfrm>
              <a:off x="3302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3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3754664" y="833665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541B6938-E633-A44E-8F11-A23E26CEBC1A}"/>
                </a:ext>
              </a:extLst>
            </xdr:cNvPr>
            <xdr:cNvSpPr txBox="1"/>
          </xdr:nvSpPr>
          <xdr:spPr>
            <a:xfrm>
              <a:off x="3754664" y="833665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3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4558695" y="826105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5F7620DC-4256-1141-927D-3A3000C785C4}"/>
                </a:ext>
              </a:extLst>
            </xdr:cNvPr>
            <xdr:cNvSpPr txBox="1"/>
          </xdr:nvSpPr>
          <xdr:spPr>
            <a:xfrm>
              <a:off x="4558695" y="826105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103233</xdr:colOff>
      <xdr:row>2</xdr:row>
      <xdr:rowOff>32597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6107793" y="438997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57847622-BD1B-8149-8A86-31C6B17A5E90}"/>
                </a:ext>
              </a:extLst>
            </xdr:cNvPr>
            <xdr:cNvSpPr txBox="1"/>
          </xdr:nvSpPr>
          <xdr:spPr>
            <a:xfrm>
              <a:off x="6107793" y="438997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6135309" y="733273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BB4E0375-7754-4446-94F1-236464E4544A}"/>
                </a:ext>
              </a:extLst>
            </xdr:cNvPr>
            <xdr:cNvSpPr txBox="1"/>
          </xdr:nvSpPr>
          <xdr:spPr>
            <a:xfrm>
              <a:off x="6135309" y="733273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63500</xdr:colOff>
      <xdr:row>3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5257800" y="7239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39FA8B48-8CEA-6342-8782-AF894DD1000D}"/>
                </a:ext>
              </a:extLst>
            </xdr:cNvPr>
            <xdr:cNvSpPr txBox="1"/>
          </xdr:nvSpPr>
          <xdr:spPr>
            <a:xfrm>
              <a:off x="5257800" y="7239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166007</xdr:colOff>
      <xdr:row>3</xdr:row>
      <xdr:rowOff>115812</xdr:rowOff>
    </xdr:from>
    <xdr:ext cx="5963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6863745" y="728133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D5AB8EB0-49F5-A942-8830-7B3CF17BC50B}"/>
                </a:ext>
              </a:extLst>
            </xdr:cNvPr>
            <xdr:cNvSpPr txBox="1"/>
          </xdr:nvSpPr>
          <xdr:spPr>
            <a:xfrm>
              <a:off x="6863745" y="728133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〖𝑅′〗_1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1190400" y="749147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FB1D831C-A9D0-B443-9C3F-B21C134DD546}"/>
                </a:ext>
              </a:extLst>
            </xdr:cNvPr>
            <xdr:cNvSpPr txBox="1"/>
          </xdr:nvSpPr>
          <xdr:spPr>
            <a:xfrm>
              <a:off x="1190400" y="749147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 txBox="1"/>
          </xdr:nvSpPr>
          <xdr:spPr>
            <a:xfrm>
              <a:off x="2023231" y="747486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BBECE62E-EDAE-FB4A-B693-84972AE3F1C1}"/>
                </a:ext>
              </a:extLst>
            </xdr:cNvPr>
            <xdr:cNvSpPr txBox="1"/>
          </xdr:nvSpPr>
          <xdr:spPr>
            <a:xfrm>
              <a:off x="2023231" y="747486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 txBox="1"/>
          </xdr:nvSpPr>
          <xdr:spPr>
            <a:xfrm>
              <a:off x="2872619" y="830036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86C98668-2CFF-6A4F-BB7E-FD7F64757B88}"/>
                </a:ext>
              </a:extLst>
            </xdr:cNvPr>
            <xdr:cNvSpPr txBox="1"/>
          </xdr:nvSpPr>
          <xdr:spPr>
            <a:xfrm>
              <a:off x="2872619" y="830036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 txBox="1"/>
          </xdr:nvSpPr>
          <xdr:spPr>
            <a:xfrm>
              <a:off x="330805" y="823686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76CFCCCB-0ED8-5241-82E2-467CE5DCAE92}"/>
                </a:ext>
              </a:extLst>
            </xdr:cNvPr>
            <xdr:cNvSpPr txBox="1"/>
          </xdr:nvSpPr>
          <xdr:spPr>
            <a:xfrm>
              <a:off x="330805" y="823686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3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SpPr txBox="1"/>
          </xdr:nvSpPr>
          <xdr:spPr>
            <a:xfrm>
              <a:off x="11329308" y="818545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F80F1927-1E34-344C-BE3F-D082CE9E2C6F}"/>
                </a:ext>
              </a:extLst>
            </xdr:cNvPr>
            <xdr:cNvSpPr txBox="1"/>
          </xdr:nvSpPr>
          <xdr:spPr>
            <a:xfrm>
              <a:off x="11329308" y="818545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3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 txBox="1"/>
          </xdr:nvSpPr>
          <xdr:spPr>
            <a:xfrm>
              <a:off x="12133338" y="818545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20E80647-8222-F646-9149-DC00009B821B}"/>
                </a:ext>
              </a:extLst>
            </xdr:cNvPr>
            <xdr:cNvSpPr txBox="1"/>
          </xdr:nvSpPr>
          <xdr:spPr>
            <a:xfrm>
              <a:off x="12133338" y="818545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 txBox="1"/>
          </xdr:nvSpPr>
          <xdr:spPr>
            <a:xfrm>
              <a:off x="6135309" y="823988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12A82F1B-9BE2-7641-A625-EB944CF02860}"/>
                </a:ext>
              </a:extLst>
            </xdr:cNvPr>
            <xdr:cNvSpPr txBox="1"/>
          </xdr:nvSpPr>
          <xdr:spPr>
            <a:xfrm>
              <a:off x="6135309" y="823988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3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5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 txBox="1"/>
          </xdr:nvSpPr>
          <xdr:spPr>
            <a:xfrm>
              <a:off x="12823976" y="817336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0" name="CuadroTexto 5">
              <a:extLst>
                <a:ext uri="{FF2B5EF4-FFF2-40B4-BE49-F238E27FC236}">
                  <a16:creationId xmlns:a16="http://schemas.microsoft.com/office/drawing/2014/main" id="{DF63EAF5-AFD5-074B-82F6-DB6EA859C114}"/>
                </a:ext>
              </a:extLst>
            </xdr:cNvPr>
            <xdr:cNvSpPr txBox="1"/>
          </xdr:nvSpPr>
          <xdr:spPr>
            <a:xfrm>
              <a:off x="12823976" y="817336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3</xdr:row>
      <xdr:rowOff>115812</xdr:rowOff>
    </xdr:from>
    <xdr:ext cx="5999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 txBox="1"/>
          </xdr:nvSpPr>
          <xdr:spPr>
            <a:xfrm>
              <a:off x="14513983" y="818848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83AAA81B-CD63-D945-86F8-7B8C32D29779}"/>
                </a:ext>
              </a:extLst>
            </xdr:cNvPr>
            <xdr:cNvSpPr txBox="1"/>
          </xdr:nvSpPr>
          <xdr:spPr>
            <a:xfrm>
              <a:off x="14513983" y="818848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〖𝑅′〗_2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143630</xdr:colOff>
      <xdr:row>2</xdr:row>
      <xdr:rowOff>32597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SpPr txBox="1"/>
          </xdr:nvSpPr>
          <xdr:spPr>
            <a:xfrm>
              <a:off x="13717390" y="438997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B06EEC79-0A6B-8B45-B6C5-98A81B2397D9}"/>
                </a:ext>
              </a:extLst>
            </xdr:cNvPr>
            <xdr:cNvSpPr txBox="1"/>
          </xdr:nvSpPr>
          <xdr:spPr>
            <a:xfrm>
              <a:off x="13717390" y="438997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29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 txBox="1"/>
          </xdr:nvSpPr>
          <xdr:spPr>
            <a:xfrm>
              <a:off x="11913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104DBC34-1871-274A-89F4-ED6AF77C430F}"/>
                </a:ext>
              </a:extLst>
            </xdr:cNvPr>
            <xdr:cNvSpPr txBox="1"/>
          </xdr:nvSpPr>
          <xdr:spPr>
            <a:xfrm>
              <a:off x="11913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29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SpPr txBox="1"/>
          </xdr:nvSpPr>
          <xdr:spPr>
            <a:xfrm>
              <a:off x="202311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68EEF83B-6579-CB4F-BB21-5BB94202B3CB}"/>
                </a:ext>
              </a:extLst>
            </xdr:cNvPr>
            <xdr:cNvSpPr txBox="1"/>
          </xdr:nvSpPr>
          <xdr:spPr>
            <a:xfrm>
              <a:off x="202311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29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SpPr txBox="1"/>
          </xdr:nvSpPr>
          <xdr:spPr>
            <a:xfrm>
              <a:off x="287147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9CB19EC3-EE3F-E244-896A-AECF4F37083C}"/>
                </a:ext>
              </a:extLst>
            </xdr:cNvPr>
            <xdr:cNvSpPr txBox="1"/>
          </xdr:nvSpPr>
          <xdr:spPr>
            <a:xfrm>
              <a:off x="287147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29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 txBox="1"/>
          </xdr:nvSpPr>
          <xdr:spPr>
            <a:xfrm>
              <a:off x="33274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CF7483FE-D059-094B-B8EC-1856D7AAAB6C}"/>
                </a:ext>
              </a:extLst>
            </xdr:cNvPr>
            <xdr:cNvSpPr txBox="1"/>
          </xdr:nvSpPr>
          <xdr:spPr>
            <a:xfrm>
              <a:off x="33274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29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 txBox="1"/>
          </xdr:nvSpPr>
          <xdr:spPr>
            <a:xfrm>
              <a:off x="3752487" y="7910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AC1E6D98-BF7C-464B-868F-5D1E229C803E}"/>
                </a:ext>
              </a:extLst>
            </xdr:cNvPr>
            <xdr:cNvSpPr txBox="1"/>
          </xdr:nvSpPr>
          <xdr:spPr>
            <a:xfrm>
              <a:off x="3752487" y="7910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29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 txBox="1"/>
          </xdr:nvSpPr>
          <xdr:spPr>
            <a:xfrm>
              <a:off x="4555490" y="7834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206A583A-EEEA-2941-A1A4-263F49713DCC}"/>
                </a:ext>
              </a:extLst>
            </xdr:cNvPr>
            <xdr:cNvSpPr txBox="1"/>
          </xdr:nvSpPr>
          <xdr:spPr>
            <a:xfrm>
              <a:off x="4555490" y="7834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29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 txBox="1"/>
          </xdr:nvSpPr>
          <xdr:spPr>
            <a:xfrm>
              <a:off x="613004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14A08F55-61B9-0D47-B987-689D590AAD63}"/>
                </a:ext>
              </a:extLst>
            </xdr:cNvPr>
            <xdr:cNvSpPr txBox="1"/>
          </xdr:nvSpPr>
          <xdr:spPr>
            <a:xfrm>
              <a:off x="613004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63500</xdr:colOff>
      <xdr:row>29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 txBox="1"/>
          </xdr:nvSpPr>
          <xdr:spPr>
            <a:xfrm>
              <a:off x="5245100" y="7747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710FE35A-6780-1941-9A62-70D23D34D391}"/>
                </a:ext>
              </a:extLst>
            </xdr:cNvPr>
            <xdr:cNvSpPr txBox="1"/>
          </xdr:nvSpPr>
          <xdr:spPr>
            <a:xfrm>
              <a:off x="5245100" y="7747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166007</xdr:colOff>
      <xdr:row>29</xdr:row>
      <xdr:rowOff>115812</xdr:rowOff>
    </xdr:from>
    <xdr:ext cx="5963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 txBox="1"/>
          </xdr:nvSpPr>
          <xdr:spPr>
            <a:xfrm>
              <a:off x="6861447" y="77621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5AB65581-338A-524A-9EE0-671EA1BD88D0}"/>
                </a:ext>
              </a:extLst>
            </xdr:cNvPr>
            <xdr:cNvSpPr txBox="1"/>
          </xdr:nvSpPr>
          <xdr:spPr>
            <a:xfrm>
              <a:off x="6861447" y="77621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〖𝑅′〗_1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29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 txBox="1"/>
          </xdr:nvSpPr>
          <xdr:spPr>
            <a:xfrm>
              <a:off x="87605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52" name="CuadroTexto 5">
              <a:extLst>
                <a:ext uri="{FF2B5EF4-FFF2-40B4-BE49-F238E27FC236}">
                  <a16:creationId xmlns:a16="http://schemas.microsoft.com/office/drawing/2014/main" id="{902B957A-55AC-244C-A05A-B36A5B2F9586}"/>
                </a:ext>
              </a:extLst>
            </xdr:cNvPr>
            <xdr:cNvSpPr txBox="1"/>
          </xdr:nvSpPr>
          <xdr:spPr>
            <a:xfrm>
              <a:off x="87605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29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 txBox="1"/>
          </xdr:nvSpPr>
          <xdr:spPr>
            <a:xfrm>
              <a:off x="959231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4E2BB446-BE12-F449-B855-91C573461C57}"/>
                </a:ext>
              </a:extLst>
            </xdr:cNvPr>
            <xdr:cNvSpPr txBox="1"/>
          </xdr:nvSpPr>
          <xdr:spPr>
            <a:xfrm>
              <a:off x="959231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29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 txBox="1"/>
          </xdr:nvSpPr>
          <xdr:spPr>
            <a:xfrm>
              <a:off x="1044067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56F4206D-0482-704B-81A9-31FDA82952B8}"/>
                </a:ext>
              </a:extLst>
            </xdr:cNvPr>
            <xdr:cNvSpPr txBox="1"/>
          </xdr:nvSpPr>
          <xdr:spPr>
            <a:xfrm>
              <a:off x="1044067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29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 txBox="1"/>
          </xdr:nvSpPr>
          <xdr:spPr>
            <a:xfrm>
              <a:off x="790194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C606B8A7-76C2-3047-B7AC-AB0AF69E2F9F}"/>
                </a:ext>
              </a:extLst>
            </xdr:cNvPr>
            <xdr:cNvSpPr txBox="1"/>
          </xdr:nvSpPr>
          <xdr:spPr>
            <a:xfrm>
              <a:off x="790194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29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00000000-0008-0000-0400-000038000000}"/>
                </a:ext>
              </a:extLst>
            </xdr:cNvPr>
            <xdr:cNvSpPr txBox="1"/>
          </xdr:nvSpPr>
          <xdr:spPr>
            <a:xfrm>
              <a:off x="11321688" y="7759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6CE6A8A5-11A6-EF45-A272-605A0B345F3C}"/>
                </a:ext>
              </a:extLst>
            </xdr:cNvPr>
            <xdr:cNvSpPr txBox="1"/>
          </xdr:nvSpPr>
          <xdr:spPr>
            <a:xfrm>
              <a:off x="11321688" y="7759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29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 txBox="1"/>
          </xdr:nvSpPr>
          <xdr:spPr>
            <a:xfrm>
              <a:off x="12124690" y="7759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3B5D5E75-DB27-4A42-8FC9-393F70A058CF}"/>
                </a:ext>
              </a:extLst>
            </xdr:cNvPr>
            <xdr:cNvSpPr txBox="1"/>
          </xdr:nvSpPr>
          <xdr:spPr>
            <a:xfrm>
              <a:off x="12124690" y="7759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29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 txBox="1"/>
          </xdr:nvSpPr>
          <xdr:spPr>
            <a:xfrm>
              <a:off x="1369924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14A3AB5D-4158-B046-BC55-76066AB2825A}"/>
                </a:ext>
              </a:extLst>
            </xdr:cNvPr>
            <xdr:cNvSpPr txBox="1"/>
          </xdr:nvSpPr>
          <xdr:spPr>
            <a:xfrm>
              <a:off x="1369924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29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 txBox="1"/>
          </xdr:nvSpPr>
          <xdr:spPr>
            <a:xfrm>
              <a:off x="12814300" y="7747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93CE6C5F-2FE4-4047-82C8-1D67EAFD03FC}"/>
                </a:ext>
              </a:extLst>
            </xdr:cNvPr>
            <xdr:cNvSpPr txBox="1"/>
          </xdr:nvSpPr>
          <xdr:spPr>
            <a:xfrm>
              <a:off x="12814300" y="77470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29</xdr:row>
      <xdr:rowOff>115812</xdr:rowOff>
    </xdr:from>
    <xdr:ext cx="5999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 txBox="1"/>
          </xdr:nvSpPr>
          <xdr:spPr>
            <a:xfrm>
              <a:off x="14501767" y="77621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5966FE7A-1B45-EF4B-8DF8-0145C2BCA9D2}"/>
                </a:ext>
              </a:extLst>
            </xdr:cNvPr>
            <xdr:cNvSpPr txBox="1"/>
          </xdr:nvSpPr>
          <xdr:spPr>
            <a:xfrm>
              <a:off x="14501767" y="77621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〖𝑅′〗_2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56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 txBox="1"/>
          </xdr:nvSpPr>
          <xdr:spPr>
            <a:xfrm>
              <a:off x="1191307" y="631483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6FC8CBA9-32C9-394B-A909-B4F2923124E7}"/>
                </a:ext>
              </a:extLst>
            </xdr:cNvPr>
            <xdr:cNvSpPr txBox="1"/>
          </xdr:nvSpPr>
          <xdr:spPr>
            <a:xfrm>
              <a:off x="1191307" y="631483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56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 txBox="1"/>
          </xdr:nvSpPr>
          <xdr:spPr>
            <a:xfrm>
              <a:off x="2023110" y="631317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93703DA2-FE82-E949-9474-29F140DBA4CB}"/>
                </a:ext>
              </a:extLst>
            </xdr:cNvPr>
            <xdr:cNvSpPr txBox="1"/>
          </xdr:nvSpPr>
          <xdr:spPr>
            <a:xfrm>
              <a:off x="2023110" y="631317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56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00000000-0008-0000-0400-00003F000000}"/>
                </a:ext>
              </a:extLst>
            </xdr:cNvPr>
            <xdr:cNvSpPr txBox="1"/>
          </xdr:nvSpPr>
          <xdr:spPr>
            <a:xfrm>
              <a:off x="2871470" y="639572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3CFAE1AA-08EB-F84D-9EAF-3043A49B2DC5}"/>
                </a:ext>
              </a:extLst>
            </xdr:cNvPr>
            <xdr:cNvSpPr txBox="1"/>
          </xdr:nvSpPr>
          <xdr:spPr>
            <a:xfrm>
              <a:off x="2871470" y="639572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56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00000000-0008-0000-0400-000040000000}"/>
                </a:ext>
              </a:extLst>
            </xdr:cNvPr>
            <xdr:cNvSpPr txBox="1"/>
          </xdr:nvSpPr>
          <xdr:spPr>
            <a:xfrm>
              <a:off x="332740" y="63893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5959FD08-38C4-8E48-ADB0-3576B5930EDA}"/>
                </a:ext>
              </a:extLst>
            </xdr:cNvPr>
            <xdr:cNvSpPr txBox="1"/>
          </xdr:nvSpPr>
          <xdr:spPr>
            <a:xfrm>
              <a:off x="332740" y="63893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56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 txBox="1"/>
          </xdr:nvSpPr>
          <xdr:spPr>
            <a:xfrm>
              <a:off x="3752487" y="63993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1E101F80-6FBB-3E46-A1ED-E2DE975E7151}"/>
                </a:ext>
              </a:extLst>
            </xdr:cNvPr>
            <xdr:cNvSpPr txBox="1"/>
          </xdr:nvSpPr>
          <xdr:spPr>
            <a:xfrm>
              <a:off x="3752487" y="63993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56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00000000-0008-0000-0400-000042000000}"/>
                </a:ext>
              </a:extLst>
            </xdr:cNvPr>
            <xdr:cNvSpPr txBox="1"/>
          </xdr:nvSpPr>
          <xdr:spPr>
            <a:xfrm>
              <a:off x="4555490" y="639178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5EA7CE43-E571-E64B-B5D5-BB5CC1CEF4E0}"/>
                </a:ext>
              </a:extLst>
            </xdr:cNvPr>
            <xdr:cNvSpPr txBox="1"/>
          </xdr:nvSpPr>
          <xdr:spPr>
            <a:xfrm>
              <a:off x="4555490" y="639178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56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SpPr txBox="1"/>
          </xdr:nvSpPr>
          <xdr:spPr>
            <a:xfrm>
              <a:off x="6130048" y="638967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FA007992-9C12-ED4B-A728-97B272D9418A}"/>
                </a:ext>
              </a:extLst>
            </xdr:cNvPr>
            <xdr:cNvSpPr txBox="1"/>
          </xdr:nvSpPr>
          <xdr:spPr>
            <a:xfrm>
              <a:off x="6130048" y="638967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63500</xdr:colOff>
      <xdr:row>56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/>
          </xdr:nvSpPr>
          <xdr:spPr>
            <a:xfrm>
              <a:off x="5245100" y="638302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9F9ECBC0-0ED9-3B4D-8944-0B9E6D800DCD}"/>
                </a:ext>
              </a:extLst>
            </xdr:cNvPr>
            <xdr:cNvSpPr txBox="1"/>
          </xdr:nvSpPr>
          <xdr:spPr>
            <a:xfrm>
              <a:off x="5245100" y="638302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166007</xdr:colOff>
      <xdr:row>56</xdr:row>
      <xdr:rowOff>115812</xdr:rowOff>
    </xdr:from>
    <xdr:ext cx="5963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 txBox="1"/>
          </xdr:nvSpPr>
          <xdr:spPr>
            <a:xfrm>
              <a:off x="6861447" y="638453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420AE7B5-D1B8-0044-B9C8-4B15394A6586}"/>
                </a:ext>
              </a:extLst>
            </xdr:cNvPr>
            <xdr:cNvSpPr txBox="1"/>
          </xdr:nvSpPr>
          <xdr:spPr>
            <a:xfrm>
              <a:off x="6861447" y="638453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〖𝑅′〗_1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56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8760507" y="631483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5BDBD39B-C534-FB41-8F0F-1C3976E83A90}"/>
                </a:ext>
              </a:extLst>
            </xdr:cNvPr>
            <xdr:cNvSpPr txBox="1"/>
          </xdr:nvSpPr>
          <xdr:spPr>
            <a:xfrm>
              <a:off x="8760507" y="631483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56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SpPr txBox="1"/>
          </xdr:nvSpPr>
          <xdr:spPr>
            <a:xfrm>
              <a:off x="9592310" y="631317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9979D740-1054-F049-9D7D-931BB9F8D582}"/>
                </a:ext>
              </a:extLst>
            </xdr:cNvPr>
            <xdr:cNvSpPr txBox="1"/>
          </xdr:nvSpPr>
          <xdr:spPr>
            <a:xfrm>
              <a:off x="9592310" y="631317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56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SpPr txBox="1"/>
          </xdr:nvSpPr>
          <xdr:spPr>
            <a:xfrm>
              <a:off x="10440670" y="639572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A80378C7-5E3F-804E-BBFD-83273695C2DB}"/>
                </a:ext>
              </a:extLst>
            </xdr:cNvPr>
            <xdr:cNvSpPr txBox="1"/>
          </xdr:nvSpPr>
          <xdr:spPr>
            <a:xfrm>
              <a:off x="10440670" y="639572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56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SpPr txBox="1"/>
          </xdr:nvSpPr>
          <xdr:spPr>
            <a:xfrm>
              <a:off x="7901940" y="63893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DCEABE7F-34A8-E441-9D76-DB2CA55B5155}"/>
                </a:ext>
              </a:extLst>
            </xdr:cNvPr>
            <xdr:cNvSpPr txBox="1"/>
          </xdr:nvSpPr>
          <xdr:spPr>
            <a:xfrm>
              <a:off x="7901940" y="63893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56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00000000-0008-0000-0400-00004A000000}"/>
                </a:ext>
              </a:extLst>
            </xdr:cNvPr>
            <xdr:cNvSpPr txBox="1"/>
          </xdr:nvSpPr>
          <xdr:spPr>
            <a:xfrm>
              <a:off x="11321688" y="63842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5CEB2EBC-CB99-8D42-9F3D-179C9F93CD73}"/>
                </a:ext>
              </a:extLst>
            </xdr:cNvPr>
            <xdr:cNvSpPr txBox="1"/>
          </xdr:nvSpPr>
          <xdr:spPr>
            <a:xfrm>
              <a:off x="11321688" y="63842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56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/>
          </xdr:nvSpPr>
          <xdr:spPr>
            <a:xfrm>
              <a:off x="12124690" y="638422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6A8EB540-1289-8B47-B91F-68419F95332E}"/>
                </a:ext>
              </a:extLst>
            </xdr:cNvPr>
            <xdr:cNvSpPr txBox="1"/>
          </xdr:nvSpPr>
          <xdr:spPr>
            <a:xfrm>
              <a:off x="12124690" y="638422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56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5">
              <a:extLst>
                <a:ext uri="{FF2B5EF4-FFF2-40B4-BE49-F238E27FC236}">
                  <a16:creationId xmlns:a16="http://schemas.microsoft.com/office/drawing/2014/main" id="{00000000-0008-0000-0400-00004C000000}"/>
                </a:ext>
              </a:extLst>
            </xdr:cNvPr>
            <xdr:cNvSpPr txBox="1"/>
          </xdr:nvSpPr>
          <xdr:spPr>
            <a:xfrm>
              <a:off x="13699248" y="638967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6" name="CuadroTexto 5">
              <a:extLst>
                <a:ext uri="{FF2B5EF4-FFF2-40B4-BE49-F238E27FC236}">
                  <a16:creationId xmlns:a16="http://schemas.microsoft.com/office/drawing/2014/main" id="{E7AE2C92-3465-DB49-BF1C-FBD33C1F4FBB}"/>
                </a:ext>
              </a:extLst>
            </xdr:cNvPr>
            <xdr:cNvSpPr txBox="1"/>
          </xdr:nvSpPr>
          <xdr:spPr>
            <a:xfrm>
              <a:off x="13699248" y="638967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56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00000000-0008-0000-0400-00004D000000}"/>
                </a:ext>
              </a:extLst>
            </xdr:cNvPr>
            <xdr:cNvSpPr txBox="1"/>
          </xdr:nvSpPr>
          <xdr:spPr>
            <a:xfrm>
              <a:off x="12814300" y="638302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C2471A45-FE0E-D247-9FF2-925C32C31F27}"/>
                </a:ext>
              </a:extLst>
            </xdr:cNvPr>
            <xdr:cNvSpPr txBox="1"/>
          </xdr:nvSpPr>
          <xdr:spPr>
            <a:xfrm>
              <a:off x="12814300" y="638302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56</xdr:row>
      <xdr:rowOff>115812</xdr:rowOff>
    </xdr:from>
    <xdr:ext cx="5999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00000000-0008-0000-0400-00004E000000}"/>
                </a:ext>
              </a:extLst>
            </xdr:cNvPr>
            <xdr:cNvSpPr txBox="1"/>
          </xdr:nvSpPr>
          <xdr:spPr>
            <a:xfrm>
              <a:off x="14501767" y="638453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F42EE90A-A71A-E441-894A-912F1535F381}"/>
                </a:ext>
              </a:extLst>
            </xdr:cNvPr>
            <xdr:cNvSpPr txBox="1"/>
          </xdr:nvSpPr>
          <xdr:spPr>
            <a:xfrm>
              <a:off x="14501767" y="638453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〖𝑅′〗_2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83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SpPr txBox="1"/>
          </xdr:nvSpPr>
          <xdr:spPr>
            <a:xfrm>
              <a:off x="1191307" y="121263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2BF9813E-248F-C14E-AF7D-1A2FE842CA6B}"/>
                </a:ext>
              </a:extLst>
            </xdr:cNvPr>
            <xdr:cNvSpPr txBox="1"/>
          </xdr:nvSpPr>
          <xdr:spPr>
            <a:xfrm>
              <a:off x="1191307" y="121263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83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00000000-0008-0000-0400-000050000000}"/>
                </a:ext>
              </a:extLst>
            </xdr:cNvPr>
            <xdr:cNvSpPr txBox="1"/>
          </xdr:nvSpPr>
          <xdr:spPr>
            <a:xfrm>
              <a:off x="2023110" y="121246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568A53E4-2904-D346-B481-D6BF0C101203}"/>
                </a:ext>
              </a:extLst>
            </xdr:cNvPr>
            <xdr:cNvSpPr txBox="1"/>
          </xdr:nvSpPr>
          <xdr:spPr>
            <a:xfrm>
              <a:off x="2023110" y="121246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83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2871470" y="122072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D71BEA9A-8BF6-5143-BFC2-B59A36596E14}"/>
                </a:ext>
              </a:extLst>
            </xdr:cNvPr>
            <xdr:cNvSpPr txBox="1"/>
          </xdr:nvSpPr>
          <xdr:spPr>
            <a:xfrm>
              <a:off x="2871470" y="122072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83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SpPr txBox="1"/>
          </xdr:nvSpPr>
          <xdr:spPr>
            <a:xfrm>
              <a:off x="332740" y="122008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38B5819A-5440-EC47-AF24-8466441DA6F3}"/>
                </a:ext>
              </a:extLst>
            </xdr:cNvPr>
            <xdr:cNvSpPr txBox="1"/>
          </xdr:nvSpPr>
          <xdr:spPr>
            <a:xfrm>
              <a:off x="332740" y="122008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83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SpPr txBox="1"/>
          </xdr:nvSpPr>
          <xdr:spPr>
            <a:xfrm>
              <a:off x="3752487" y="1221086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5BF684F5-8FC1-6849-A63C-B812FC5EEC3F}"/>
                </a:ext>
              </a:extLst>
            </xdr:cNvPr>
            <xdr:cNvSpPr txBox="1"/>
          </xdr:nvSpPr>
          <xdr:spPr>
            <a:xfrm>
              <a:off x="3752487" y="1221086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83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00000000-0008-0000-0400-000054000000}"/>
                </a:ext>
              </a:extLst>
            </xdr:cNvPr>
            <xdr:cNvSpPr txBox="1"/>
          </xdr:nvSpPr>
          <xdr:spPr>
            <a:xfrm>
              <a:off x="4555490" y="122033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20F2C28C-C191-1C43-BDF8-369CC8463040}"/>
                </a:ext>
              </a:extLst>
            </xdr:cNvPr>
            <xdr:cNvSpPr txBox="1"/>
          </xdr:nvSpPr>
          <xdr:spPr>
            <a:xfrm>
              <a:off x="4555490" y="122033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83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00000000-0008-0000-0400-000055000000}"/>
                </a:ext>
              </a:extLst>
            </xdr:cNvPr>
            <xdr:cNvSpPr txBox="1"/>
          </xdr:nvSpPr>
          <xdr:spPr>
            <a:xfrm>
              <a:off x="6130048" y="122011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AC4866FB-52F5-4940-B3AF-EE59BE3D60E9}"/>
                </a:ext>
              </a:extLst>
            </xdr:cNvPr>
            <xdr:cNvSpPr txBox="1"/>
          </xdr:nvSpPr>
          <xdr:spPr>
            <a:xfrm>
              <a:off x="6130048" y="122011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63500</xdr:colOff>
      <xdr:row>83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00000000-0008-0000-0400-000056000000}"/>
                </a:ext>
              </a:extLst>
            </xdr:cNvPr>
            <xdr:cNvSpPr txBox="1"/>
          </xdr:nvSpPr>
          <xdr:spPr>
            <a:xfrm>
              <a:off x="5245100" y="121945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E9F37DDB-04AC-BE4F-820A-2943B775F1AA}"/>
                </a:ext>
              </a:extLst>
            </xdr:cNvPr>
            <xdr:cNvSpPr txBox="1"/>
          </xdr:nvSpPr>
          <xdr:spPr>
            <a:xfrm>
              <a:off x="5245100" y="121945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166007</xdr:colOff>
      <xdr:row>83</xdr:row>
      <xdr:rowOff>115812</xdr:rowOff>
    </xdr:from>
    <xdr:ext cx="5963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00000000-0008-0000-0400-000057000000}"/>
                </a:ext>
              </a:extLst>
            </xdr:cNvPr>
            <xdr:cNvSpPr txBox="1"/>
          </xdr:nvSpPr>
          <xdr:spPr>
            <a:xfrm>
              <a:off x="6861447" y="1219605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4B6D4E4F-7EE1-E64C-B09F-6C287FF0C88A}"/>
                </a:ext>
              </a:extLst>
            </xdr:cNvPr>
            <xdr:cNvSpPr txBox="1"/>
          </xdr:nvSpPr>
          <xdr:spPr>
            <a:xfrm>
              <a:off x="6861447" y="1219605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〖𝑅′〗_1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83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SpPr txBox="1"/>
          </xdr:nvSpPr>
          <xdr:spPr>
            <a:xfrm>
              <a:off x="8760507" y="121263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B6716610-A448-BA41-BCDC-D328F39E46C1}"/>
                </a:ext>
              </a:extLst>
            </xdr:cNvPr>
            <xdr:cNvSpPr txBox="1"/>
          </xdr:nvSpPr>
          <xdr:spPr>
            <a:xfrm>
              <a:off x="8760507" y="121263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83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00000000-0008-0000-0400-000059000000}"/>
                </a:ext>
              </a:extLst>
            </xdr:cNvPr>
            <xdr:cNvSpPr txBox="1"/>
          </xdr:nvSpPr>
          <xdr:spPr>
            <a:xfrm>
              <a:off x="9592310" y="121246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94130383-5420-0A48-80A2-442F059F1CE7}"/>
                </a:ext>
              </a:extLst>
            </xdr:cNvPr>
            <xdr:cNvSpPr txBox="1"/>
          </xdr:nvSpPr>
          <xdr:spPr>
            <a:xfrm>
              <a:off x="9592310" y="121246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83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00000000-0008-0000-0400-00005A000000}"/>
                </a:ext>
              </a:extLst>
            </xdr:cNvPr>
            <xdr:cNvSpPr txBox="1"/>
          </xdr:nvSpPr>
          <xdr:spPr>
            <a:xfrm>
              <a:off x="10440670" y="122072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6A06D401-091F-4347-B9EA-F39DEC619BC7}"/>
                </a:ext>
              </a:extLst>
            </xdr:cNvPr>
            <xdr:cNvSpPr txBox="1"/>
          </xdr:nvSpPr>
          <xdr:spPr>
            <a:xfrm>
              <a:off x="10440670" y="122072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83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 txBox="1"/>
          </xdr:nvSpPr>
          <xdr:spPr>
            <a:xfrm>
              <a:off x="7901940" y="122008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2850C4A6-3527-5E42-91BC-7E30ED99A8D9}"/>
                </a:ext>
              </a:extLst>
            </xdr:cNvPr>
            <xdr:cNvSpPr txBox="1"/>
          </xdr:nvSpPr>
          <xdr:spPr>
            <a:xfrm>
              <a:off x="7901940" y="122008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83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 txBox="1"/>
          </xdr:nvSpPr>
          <xdr:spPr>
            <a:xfrm>
              <a:off x="11321688" y="121957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5F4CF11F-588C-4247-8104-6C725902CC53}"/>
                </a:ext>
              </a:extLst>
            </xdr:cNvPr>
            <xdr:cNvSpPr txBox="1"/>
          </xdr:nvSpPr>
          <xdr:spPr>
            <a:xfrm>
              <a:off x="11321688" y="121957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83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/>
          </xdr:nvSpPr>
          <xdr:spPr>
            <a:xfrm>
              <a:off x="12124690" y="1219574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CC4E4F3A-2860-E74A-9858-7F639F6AC8BC}"/>
                </a:ext>
              </a:extLst>
            </xdr:cNvPr>
            <xdr:cNvSpPr txBox="1"/>
          </xdr:nvSpPr>
          <xdr:spPr>
            <a:xfrm>
              <a:off x="12124690" y="1219574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83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 txBox="1"/>
          </xdr:nvSpPr>
          <xdr:spPr>
            <a:xfrm>
              <a:off x="13699248" y="122011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235F9AA8-0D4D-BA4F-BFB1-65E3C2724875}"/>
                </a:ext>
              </a:extLst>
            </xdr:cNvPr>
            <xdr:cNvSpPr txBox="1"/>
          </xdr:nvSpPr>
          <xdr:spPr>
            <a:xfrm>
              <a:off x="13699248" y="122011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83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00000000-0008-0000-0400-00005F000000}"/>
                </a:ext>
              </a:extLst>
            </xdr:cNvPr>
            <xdr:cNvSpPr txBox="1"/>
          </xdr:nvSpPr>
          <xdr:spPr>
            <a:xfrm>
              <a:off x="12814300" y="121945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226FADB1-928D-D148-A0FE-91E6C504C4CC}"/>
                </a:ext>
              </a:extLst>
            </xdr:cNvPr>
            <xdr:cNvSpPr txBox="1"/>
          </xdr:nvSpPr>
          <xdr:spPr>
            <a:xfrm>
              <a:off x="12814300" y="121945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83</xdr:row>
      <xdr:rowOff>115812</xdr:rowOff>
    </xdr:from>
    <xdr:ext cx="5999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5">
              <a:extLst>
                <a:ext uri="{FF2B5EF4-FFF2-40B4-BE49-F238E27FC236}">
                  <a16:creationId xmlns:a16="http://schemas.microsoft.com/office/drawing/2014/main" id="{00000000-0008-0000-0400-000060000000}"/>
                </a:ext>
              </a:extLst>
            </xdr:cNvPr>
            <xdr:cNvSpPr txBox="1"/>
          </xdr:nvSpPr>
          <xdr:spPr>
            <a:xfrm>
              <a:off x="14501767" y="1219605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6" name="CuadroTexto 5">
              <a:extLst>
                <a:ext uri="{FF2B5EF4-FFF2-40B4-BE49-F238E27FC236}">
                  <a16:creationId xmlns:a16="http://schemas.microsoft.com/office/drawing/2014/main" id="{026B1BCC-EBDA-5946-993C-589C3FC09EFB}"/>
                </a:ext>
              </a:extLst>
            </xdr:cNvPr>
            <xdr:cNvSpPr txBox="1"/>
          </xdr:nvSpPr>
          <xdr:spPr>
            <a:xfrm>
              <a:off x="14501767" y="1219605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〖𝑅′〗_2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110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00000000-0008-0000-0400-000061000000}"/>
                </a:ext>
              </a:extLst>
            </xdr:cNvPr>
            <xdr:cNvSpPr txBox="1"/>
          </xdr:nvSpPr>
          <xdr:spPr>
            <a:xfrm>
              <a:off x="1191307" y="179175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F79D6795-29C6-8A4E-AEEF-B82BC82AC45B}"/>
                </a:ext>
              </a:extLst>
            </xdr:cNvPr>
            <xdr:cNvSpPr txBox="1"/>
          </xdr:nvSpPr>
          <xdr:spPr>
            <a:xfrm>
              <a:off x="1191307" y="179175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110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5">
              <a:extLst>
                <a:ext uri="{FF2B5EF4-FFF2-40B4-BE49-F238E27FC236}">
                  <a16:creationId xmlns:a16="http://schemas.microsoft.com/office/drawing/2014/main" id="{00000000-0008-0000-0400-000062000000}"/>
                </a:ext>
              </a:extLst>
            </xdr:cNvPr>
            <xdr:cNvSpPr txBox="1"/>
          </xdr:nvSpPr>
          <xdr:spPr>
            <a:xfrm>
              <a:off x="2023110" y="179158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98" name="CuadroTexto 5">
              <a:extLst>
                <a:ext uri="{FF2B5EF4-FFF2-40B4-BE49-F238E27FC236}">
                  <a16:creationId xmlns:a16="http://schemas.microsoft.com/office/drawing/2014/main" id="{8A81D1AB-C29A-CB49-8132-E4360CCD6E72}"/>
                </a:ext>
              </a:extLst>
            </xdr:cNvPr>
            <xdr:cNvSpPr txBox="1"/>
          </xdr:nvSpPr>
          <xdr:spPr>
            <a:xfrm>
              <a:off x="2023110" y="179158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110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SpPr txBox="1"/>
          </xdr:nvSpPr>
          <xdr:spPr>
            <a:xfrm>
              <a:off x="2871470" y="179984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2254F6D8-7215-694B-B53E-9107A971728B}"/>
                </a:ext>
              </a:extLst>
            </xdr:cNvPr>
            <xdr:cNvSpPr txBox="1"/>
          </xdr:nvSpPr>
          <xdr:spPr>
            <a:xfrm>
              <a:off x="2871470" y="179984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110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00000000-0008-0000-0400-000064000000}"/>
                </a:ext>
              </a:extLst>
            </xdr:cNvPr>
            <xdr:cNvSpPr txBox="1"/>
          </xdr:nvSpPr>
          <xdr:spPr>
            <a:xfrm>
              <a:off x="332740" y="179920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95A1D2E5-500E-6F45-AB0E-1BB46727C172}"/>
                </a:ext>
              </a:extLst>
            </xdr:cNvPr>
            <xdr:cNvSpPr txBox="1"/>
          </xdr:nvSpPr>
          <xdr:spPr>
            <a:xfrm>
              <a:off x="332740" y="179920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110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uadroTexto 5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SpPr txBox="1"/>
          </xdr:nvSpPr>
          <xdr:spPr>
            <a:xfrm>
              <a:off x="3752487" y="1800206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1" name="CuadroTexto 5">
              <a:extLst>
                <a:ext uri="{FF2B5EF4-FFF2-40B4-BE49-F238E27FC236}">
                  <a16:creationId xmlns:a16="http://schemas.microsoft.com/office/drawing/2014/main" id="{BF33A43A-F1D1-A945-BFF7-6E56C88A3A8E}"/>
                </a:ext>
              </a:extLst>
            </xdr:cNvPr>
            <xdr:cNvSpPr txBox="1"/>
          </xdr:nvSpPr>
          <xdr:spPr>
            <a:xfrm>
              <a:off x="3752487" y="1800206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110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00000000-0008-0000-0400-000066000000}"/>
                </a:ext>
              </a:extLst>
            </xdr:cNvPr>
            <xdr:cNvSpPr txBox="1"/>
          </xdr:nvSpPr>
          <xdr:spPr>
            <a:xfrm>
              <a:off x="4555490" y="179945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D6E70407-A79C-934A-A854-0E50A0E5E203}"/>
                </a:ext>
              </a:extLst>
            </xdr:cNvPr>
            <xdr:cNvSpPr txBox="1"/>
          </xdr:nvSpPr>
          <xdr:spPr>
            <a:xfrm>
              <a:off x="4555490" y="179945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110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 txBox="1"/>
          </xdr:nvSpPr>
          <xdr:spPr>
            <a:xfrm>
              <a:off x="6130048" y="179923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743B53D3-8BF4-F34B-96F1-1FE4DF5C5E74}"/>
                </a:ext>
              </a:extLst>
            </xdr:cNvPr>
            <xdr:cNvSpPr txBox="1"/>
          </xdr:nvSpPr>
          <xdr:spPr>
            <a:xfrm>
              <a:off x="6130048" y="179923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63500</xdr:colOff>
      <xdr:row>110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5245100" y="179857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C0695D2C-A548-8B4F-B692-D4748ED9D4DA}"/>
                </a:ext>
              </a:extLst>
            </xdr:cNvPr>
            <xdr:cNvSpPr txBox="1"/>
          </xdr:nvSpPr>
          <xdr:spPr>
            <a:xfrm>
              <a:off x="5245100" y="179857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166007</xdr:colOff>
      <xdr:row>110</xdr:row>
      <xdr:rowOff>115812</xdr:rowOff>
    </xdr:from>
    <xdr:ext cx="5963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SpPr txBox="1"/>
          </xdr:nvSpPr>
          <xdr:spPr>
            <a:xfrm>
              <a:off x="6861447" y="1798725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3EF3333D-16EC-E941-B4CA-BD7A2EB32C2B}"/>
                </a:ext>
              </a:extLst>
            </xdr:cNvPr>
            <xdr:cNvSpPr txBox="1"/>
          </xdr:nvSpPr>
          <xdr:spPr>
            <a:xfrm>
              <a:off x="6861447" y="17987252"/>
              <a:ext cx="5963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〖𝑅′〗_1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110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00000000-0008-0000-0400-00006A000000}"/>
                </a:ext>
              </a:extLst>
            </xdr:cNvPr>
            <xdr:cNvSpPr txBox="1"/>
          </xdr:nvSpPr>
          <xdr:spPr>
            <a:xfrm>
              <a:off x="8760507" y="179175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02C47E02-BF37-8C45-A52B-B29D5F1C2072}"/>
                </a:ext>
              </a:extLst>
            </xdr:cNvPr>
            <xdr:cNvSpPr txBox="1"/>
          </xdr:nvSpPr>
          <xdr:spPr>
            <a:xfrm>
              <a:off x="8760507" y="1791755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110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00000000-0008-0000-0400-00006B000000}"/>
                </a:ext>
              </a:extLst>
            </xdr:cNvPr>
            <xdr:cNvSpPr txBox="1"/>
          </xdr:nvSpPr>
          <xdr:spPr>
            <a:xfrm>
              <a:off x="9592310" y="179158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F2213B8E-B5D4-1947-9A6D-D11A96F620A2}"/>
                </a:ext>
              </a:extLst>
            </xdr:cNvPr>
            <xdr:cNvSpPr txBox="1"/>
          </xdr:nvSpPr>
          <xdr:spPr>
            <a:xfrm>
              <a:off x="9592310" y="1791589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110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00000000-0008-0000-0400-00006C000000}"/>
                </a:ext>
              </a:extLst>
            </xdr:cNvPr>
            <xdr:cNvSpPr txBox="1"/>
          </xdr:nvSpPr>
          <xdr:spPr>
            <a:xfrm>
              <a:off x="10440670" y="179984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696F9876-46EB-B04A-8159-F1CA9BCFBA7A}"/>
                </a:ext>
              </a:extLst>
            </xdr:cNvPr>
            <xdr:cNvSpPr txBox="1"/>
          </xdr:nvSpPr>
          <xdr:spPr>
            <a:xfrm>
              <a:off x="10440670" y="1799844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110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 txBox="1"/>
          </xdr:nvSpPr>
          <xdr:spPr>
            <a:xfrm>
              <a:off x="7901940" y="179920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77F118E1-68A2-A344-A72E-2AA6911A781A}"/>
                </a:ext>
              </a:extLst>
            </xdr:cNvPr>
            <xdr:cNvSpPr txBox="1"/>
          </xdr:nvSpPr>
          <xdr:spPr>
            <a:xfrm>
              <a:off x="7901940" y="1799209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110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SpPr txBox="1"/>
          </xdr:nvSpPr>
          <xdr:spPr>
            <a:xfrm>
              <a:off x="11321688" y="179869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CD5C48AD-D865-484F-9CDB-47642CDCCEA1}"/>
                </a:ext>
              </a:extLst>
            </xdr:cNvPr>
            <xdr:cNvSpPr txBox="1"/>
          </xdr:nvSpPr>
          <xdr:spPr>
            <a:xfrm>
              <a:off x="11321688" y="1798694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110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12124690" y="1798694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29D02B41-B164-9949-81EA-16F2689C6E3F}"/>
                </a:ext>
              </a:extLst>
            </xdr:cNvPr>
            <xdr:cNvSpPr txBox="1"/>
          </xdr:nvSpPr>
          <xdr:spPr>
            <a:xfrm>
              <a:off x="12124690" y="1798694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110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00000000-0008-0000-0400-000070000000}"/>
                </a:ext>
              </a:extLst>
            </xdr:cNvPr>
            <xdr:cNvSpPr txBox="1"/>
          </xdr:nvSpPr>
          <xdr:spPr>
            <a:xfrm>
              <a:off x="13699248" y="179923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DF247DFF-FFDB-314D-86D7-827F7E0C61D2}"/>
                </a:ext>
              </a:extLst>
            </xdr:cNvPr>
            <xdr:cNvSpPr txBox="1"/>
          </xdr:nvSpPr>
          <xdr:spPr>
            <a:xfrm>
              <a:off x="13699248" y="1799239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110</xdr:row>
      <xdr:rowOff>114300</xdr:rowOff>
    </xdr:from>
    <xdr:ext cx="728084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00000000-0008-0000-0400-000071000000}"/>
                </a:ext>
              </a:extLst>
            </xdr:cNvPr>
            <xdr:cNvSpPr txBox="1"/>
          </xdr:nvSpPr>
          <xdr:spPr>
            <a:xfrm>
              <a:off x="12814300" y="179857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7A04AFC5-E562-9549-B828-EC97A6525933}"/>
                </a:ext>
              </a:extLst>
            </xdr:cNvPr>
            <xdr:cNvSpPr txBox="1"/>
          </xdr:nvSpPr>
          <xdr:spPr>
            <a:xfrm>
              <a:off x="12814300" y="17985740"/>
              <a:ext cx="728084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110</xdr:row>
      <xdr:rowOff>115812</xdr:rowOff>
    </xdr:from>
    <xdr:ext cx="5999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SpPr txBox="1"/>
          </xdr:nvSpPr>
          <xdr:spPr>
            <a:xfrm>
              <a:off x="14501767" y="1798725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EDD56E0C-6393-7C4D-B0B6-26878BA5EBF0}"/>
                </a:ext>
              </a:extLst>
            </xdr:cNvPr>
            <xdr:cNvSpPr txBox="1"/>
          </xdr:nvSpPr>
          <xdr:spPr>
            <a:xfrm>
              <a:off x="14501767" y="17987252"/>
              <a:ext cx="5999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〖𝑅′〗_2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121920</xdr:colOff>
      <xdr:row>28</xdr:row>
      <xdr:rowOff>40640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 txBox="1"/>
          </xdr:nvSpPr>
          <xdr:spPr>
            <a:xfrm>
              <a:off x="13695680" y="601472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EEEB4B91-2591-E84A-8449-D822F6586BE8}"/>
                </a:ext>
              </a:extLst>
            </xdr:cNvPr>
            <xdr:cNvSpPr txBox="1"/>
          </xdr:nvSpPr>
          <xdr:spPr>
            <a:xfrm>
              <a:off x="13695680" y="601472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91440</xdr:colOff>
      <xdr:row>28</xdr:row>
      <xdr:rowOff>40640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SpPr txBox="1"/>
          </xdr:nvSpPr>
          <xdr:spPr>
            <a:xfrm>
              <a:off x="6096000" y="601472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8B3C5BAB-2B8F-BC40-8855-1EED56FB297D}"/>
                </a:ext>
              </a:extLst>
            </xdr:cNvPr>
            <xdr:cNvSpPr txBox="1"/>
          </xdr:nvSpPr>
          <xdr:spPr>
            <a:xfrm>
              <a:off x="6096000" y="601472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142240</xdr:colOff>
      <xdr:row>55</xdr:row>
      <xdr:rowOff>50800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6146800" y="118364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2836A246-0C35-1040-9BBD-44CB93C83937}"/>
                </a:ext>
              </a:extLst>
            </xdr:cNvPr>
            <xdr:cNvSpPr txBox="1"/>
          </xdr:nvSpPr>
          <xdr:spPr>
            <a:xfrm>
              <a:off x="6146800" y="118364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152400</xdr:colOff>
      <xdr:row>55</xdr:row>
      <xdr:rowOff>60960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00000000-0008-0000-0400-000076000000}"/>
                </a:ext>
              </a:extLst>
            </xdr:cNvPr>
            <xdr:cNvSpPr txBox="1"/>
          </xdr:nvSpPr>
          <xdr:spPr>
            <a:xfrm>
              <a:off x="13726160" y="1184656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92A46828-001E-FB4E-9A61-4A7E9601FEE8}"/>
                </a:ext>
              </a:extLst>
            </xdr:cNvPr>
            <xdr:cNvSpPr txBox="1"/>
          </xdr:nvSpPr>
          <xdr:spPr>
            <a:xfrm>
              <a:off x="13726160" y="1184656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121920</xdr:colOff>
      <xdr:row>82</xdr:row>
      <xdr:rowOff>50800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5">
              <a:extLst>
                <a:ext uri="{FF2B5EF4-FFF2-40B4-BE49-F238E27FC236}">
                  <a16:creationId xmlns:a16="http://schemas.microsoft.com/office/drawing/2014/main" id="{00000000-0008-0000-0400-000077000000}"/>
                </a:ext>
              </a:extLst>
            </xdr:cNvPr>
            <xdr:cNvSpPr txBox="1"/>
          </xdr:nvSpPr>
          <xdr:spPr>
            <a:xfrm>
              <a:off x="6126480" y="176276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9" name="CuadroTexto 5">
              <a:extLst>
                <a:ext uri="{FF2B5EF4-FFF2-40B4-BE49-F238E27FC236}">
                  <a16:creationId xmlns:a16="http://schemas.microsoft.com/office/drawing/2014/main" id="{14FF4868-A3F6-024B-A366-BCCBAA3A2209}"/>
                </a:ext>
              </a:extLst>
            </xdr:cNvPr>
            <xdr:cNvSpPr txBox="1"/>
          </xdr:nvSpPr>
          <xdr:spPr>
            <a:xfrm>
              <a:off x="6126480" y="176276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121920</xdr:colOff>
      <xdr:row>82</xdr:row>
      <xdr:rowOff>50800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5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SpPr txBox="1"/>
          </xdr:nvSpPr>
          <xdr:spPr>
            <a:xfrm>
              <a:off x="13695680" y="176276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0" name="CuadroTexto 5">
              <a:extLst>
                <a:ext uri="{FF2B5EF4-FFF2-40B4-BE49-F238E27FC236}">
                  <a16:creationId xmlns:a16="http://schemas.microsoft.com/office/drawing/2014/main" id="{3148D9C6-F25D-EE46-B408-99F04CF913B0}"/>
                </a:ext>
              </a:extLst>
            </xdr:cNvPr>
            <xdr:cNvSpPr txBox="1"/>
          </xdr:nvSpPr>
          <xdr:spPr>
            <a:xfrm>
              <a:off x="13695680" y="176276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111760</xdr:colOff>
      <xdr:row>109</xdr:row>
      <xdr:rowOff>50800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 txBox="1"/>
          </xdr:nvSpPr>
          <xdr:spPr>
            <a:xfrm>
              <a:off x="6116320" y="234188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856850D0-AA33-ED44-8D2F-2B85D96EC4A8}"/>
                </a:ext>
              </a:extLst>
            </xdr:cNvPr>
            <xdr:cNvSpPr txBox="1"/>
          </xdr:nvSpPr>
          <xdr:spPr>
            <a:xfrm>
              <a:off x="6116320" y="234188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142240</xdr:colOff>
      <xdr:row>109</xdr:row>
      <xdr:rowOff>60960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5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SpPr txBox="1"/>
          </xdr:nvSpPr>
          <xdr:spPr>
            <a:xfrm>
              <a:off x="13716000" y="2342896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2" name="CuadroTexto 5">
              <a:extLst>
                <a:ext uri="{FF2B5EF4-FFF2-40B4-BE49-F238E27FC236}">
                  <a16:creationId xmlns:a16="http://schemas.microsoft.com/office/drawing/2014/main" id="{1100AE8B-DCA9-694C-884F-8CE6C6FB123B}"/>
                </a:ext>
              </a:extLst>
            </xdr:cNvPr>
            <xdr:cNvSpPr txBox="1"/>
          </xdr:nvSpPr>
          <xdr:spPr>
            <a:xfrm>
              <a:off x="13716000" y="2342896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twoCellAnchor>
    <xdr:from>
      <xdr:col>23</xdr:col>
      <xdr:colOff>0</xdr:colOff>
      <xdr:row>28</xdr:row>
      <xdr:rowOff>34325</xdr:rowOff>
    </xdr:from>
    <xdr:to>
      <xdr:col>36</xdr:col>
      <xdr:colOff>503767</xdr:colOff>
      <xdr:row>51</xdr:row>
      <xdr:rowOff>132079</xdr:rowOff>
    </xdr:to>
    <xdr:graphicFrame macro="">
      <xdr:nvGraphicFramePr>
        <xdr:cNvPr id="123" name="Gráfico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36</xdr:col>
      <xdr:colOff>503767</xdr:colOff>
      <xdr:row>77</xdr:row>
      <xdr:rowOff>114917</xdr:rowOff>
    </xdr:to>
    <xdr:graphicFrame macro="">
      <xdr:nvGraphicFramePr>
        <xdr:cNvPr id="124" name="Gráfico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81</xdr:row>
      <xdr:rowOff>0</xdr:rowOff>
    </xdr:from>
    <xdr:to>
      <xdr:col>36</xdr:col>
      <xdr:colOff>503767</xdr:colOff>
      <xdr:row>104</xdr:row>
      <xdr:rowOff>114917</xdr:rowOff>
    </xdr:to>
    <xdr:graphicFrame macro="">
      <xdr:nvGraphicFramePr>
        <xdr:cNvPr id="125" name="Gráfico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36</xdr:col>
      <xdr:colOff>503767</xdr:colOff>
      <xdr:row>131</xdr:row>
      <xdr:rowOff>114916</xdr:rowOff>
    </xdr:to>
    <xdr:graphicFrame macro="">
      <xdr:nvGraphicFramePr>
        <xdr:cNvPr id="126" name="Gráfico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155012</xdr:colOff>
      <xdr:row>46</xdr:row>
      <xdr:rowOff>133884</xdr:rowOff>
    </xdr:from>
    <xdr:to>
      <xdr:col>79</xdr:col>
      <xdr:colOff>503252</xdr:colOff>
      <xdr:row>53</xdr:row>
      <xdr:rowOff>79649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3812" y="9938284"/>
          <a:ext cx="7892040" cy="1368165"/>
        </a:xfrm>
        <a:prstGeom prst="rect">
          <a:avLst/>
        </a:prstGeom>
      </xdr:spPr>
    </xdr:pic>
    <xdr:clientData/>
  </xdr:twoCellAnchor>
  <xdr:twoCellAnchor editAs="oneCell">
    <xdr:from>
      <xdr:col>70</xdr:col>
      <xdr:colOff>162819</xdr:colOff>
      <xdr:row>56</xdr:row>
      <xdr:rowOff>422610</xdr:rowOff>
    </xdr:from>
    <xdr:to>
      <xdr:col>79</xdr:col>
      <xdr:colOff>510538</xdr:colOff>
      <xdr:row>76</xdr:row>
      <xdr:rowOff>188009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71619" y="12259010"/>
          <a:ext cx="7891519" cy="4057999"/>
        </a:xfrm>
        <a:prstGeom prst="rect">
          <a:avLst/>
        </a:prstGeom>
      </xdr:spPr>
    </xdr:pic>
    <xdr:clientData/>
  </xdr:twoCellAnchor>
  <xdr:twoCellAnchor>
    <xdr:from>
      <xdr:col>22</xdr:col>
      <xdr:colOff>368451</xdr:colOff>
      <xdr:row>1</xdr:row>
      <xdr:rowOff>193297</xdr:rowOff>
    </xdr:from>
    <xdr:to>
      <xdr:col>35</xdr:col>
      <xdr:colOff>814732</xdr:colOff>
      <xdr:row>25</xdr:row>
      <xdr:rowOff>181429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50</xdr:col>
      <xdr:colOff>446282</xdr:colOff>
      <xdr:row>26</xdr:row>
      <xdr:rowOff>15119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393096</xdr:colOff>
      <xdr:row>28</xdr:row>
      <xdr:rowOff>11869</xdr:rowOff>
    </xdr:from>
    <xdr:to>
      <xdr:col>36</xdr:col>
      <xdr:colOff>7830</xdr:colOff>
      <xdr:row>52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825954</xdr:colOff>
      <xdr:row>27</xdr:row>
      <xdr:rowOff>196546</xdr:rowOff>
    </xdr:from>
    <xdr:to>
      <xdr:col>50</xdr:col>
      <xdr:colOff>440688</xdr:colOff>
      <xdr:row>51</xdr:row>
      <xdr:rowOff>196546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408214</xdr:colOff>
      <xdr:row>53</xdr:row>
      <xdr:rowOff>193298</xdr:rowOff>
    </xdr:from>
    <xdr:to>
      <xdr:col>36</xdr:col>
      <xdr:colOff>22948</xdr:colOff>
      <xdr:row>77</xdr:row>
      <xdr:rowOff>181429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9524</xdr:colOff>
      <xdr:row>53</xdr:row>
      <xdr:rowOff>181428</xdr:rowOff>
    </xdr:from>
    <xdr:to>
      <xdr:col>50</xdr:col>
      <xdr:colOff>455806</xdr:colOff>
      <xdr:row>77</xdr:row>
      <xdr:rowOff>181428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377976</xdr:colOff>
      <xdr:row>79</xdr:row>
      <xdr:rowOff>193299</xdr:rowOff>
    </xdr:from>
    <xdr:to>
      <xdr:col>35</xdr:col>
      <xdr:colOff>824257</xdr:colOff>
      <xdr:row>103</xdr:row>
      <xdr:rowOff>181430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810834</xdr:colOff>
      <xdr:row>79</xdr:row>
      <xdr:rowOff>181429</xdr:rowOff>
    </xdr:from>
    <xdr:to>
      <xdr:col>50</xdr:col>
      <xdr:colOff>425568</xdr:colOff>
      <xdr:row>103</xdr:row>
      <xdr:rowOff>181429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377976</xdr:colOff>
      <xdr:row>106</xdr:row>
      <xdr:rowOff>26989</xdr:rowOff>
    </xdr:from>
    <xdr:to>
      <xdr:col>35</xdr:col>
      <xdr:colOff>824257</xdr:colOff>
      <xdr:row>130</xdr:row>
      <xdr:rowOff>15121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810834</xdr:colOff>
      <xdr:row>106</xdr:row>
      <xdr:rowOff>15119</xdr:rowOff>
    </xdr:from>
    <xdr:to>
      <xdr:col>50</xdr:col>
      <xdr:colOff>425568</xdr:colOff>
      <xdr:row>130</xdr:row>
      <xdr:rowOff>15120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377976</xdr:colOff>
      <xdr:row>132</xdr:row>
      <xdr:rowOff>11870</xdr:rowOff>
    </xdr:from>
    <xdr:to>
      <xdr:col>35</xdr:col>
      <xdr:colOff>824257</xdr:colOff>
      <xdr:row>156</xdr:row>
      <xdr:rowOff>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810834</xdr:colOff>
      <xdr:row>132</xdr:row>
      <xdr:rowOff>0</xdr:rowOff>
    </xdr:from>
    <xdr:to>
      <xdr:col>50</xdr:col>
      <xdr:colOff>425568</xdr:colOff>
      <xdr:row>156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25400</xdr:colOff>
      <xdr:row>2</xdr:row>
      <xdr:rowOff>0</xdr:rowOff>
    </xdr:from>
    <xdr:to>
      <xdr:col>64</xdr:col>
      <xdr:colOff>471682</xdr:colOff>
      <xdr:row>26</xdr:row>
      <xdr:rowOff>15119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812800</xdr:colOff>
      <xdr:row>28</xdr:row>
      <xdr:rowOff>12700</xdr:rowOff>
    </xdr:from>
    <xdr:to>
      <xdr:col>64</xdr:col>
      <xdr:colOff>433582</xdr:colOff>
      <xdr:row>52</xdr:row>
      <xdr:rowOff>15119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0</xdr:colOff>
      <xdr:row>54</xdr:row>
      <xdr:rowOff>0</xdr:rowOff>
    </xdr:from>
    <xdr:to>
      <xdr:col>64</xdr:col>
      <xdr:colOff>446282</xdr:colOff>
      <xdr:row>78</xdr:row>
      <xdr:rowOff>2419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0</xdr:colOff>
      <xdr:row>80</xdr:row>
      <xdr:rowOff>12700</xdr:rowOff>
    </xdr:from>
    <xdr:to>
      <xdr:col>64</xdr:col>
      <xdr:colOff>446282</xdr:colOff>
      <xdr:row>104</xdr:row>
      <xdr:rowOff>15119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106</xdr:row>
      <xdr:rowOff>0</xdr:rowOff>
    </xdr:from>
    <xdr:to>
      <xdr:col>64</xdr:col>
      <xdr:colOff>446282</xdr:colOff>
      <xdr:row>130</xdr:row>
      <xdr:rowOff>2419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812800</xdr:colOff>
      <xdr:row>131</xdr:row>
      <xdr:rowOff>173567</xdr:rowOff>
    </xdr:from>
    <xdr:to>
      <xdr:col>64</xdr:col>
      <xdr:colOff>433582</xdr:colOff>
      <xdr:row>155</xdr:row>
      <xdr:rowOff>175986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134783</xdr:colOff>
      <xdr:row>210</xdr:row>
      <xdr:rowOff>26629</xdr:rowOff>
    </xdr:from>
    <xdr:to>
      <xdr:col>41</xdr:col>
      <xdr:colOff>547739</xdr:colOff>
      <xdr:row>235</xdr:row>
      <xdr:rowOff>162055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0</xdr:colOff>
      <xdr:row>160</xdr:row>
      <xdr:rowOff>0</xdr:rowOff>
    </xdr:from>
    <xdr:to>
      <xdr:col>64</xdr:col>
      <xdr:colOff>446282</xdr:colOff>
      <xdr:row>184</xdr:row>
      <xdr:rowOff>2419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0</xdr:colOff>
      <xdr:row>211</xdr:row>
      <xdr:rowOff>0</xdr:rowOff>
    </xdr:from>
    <xdr:to>
      <xdr:col>64</xdr:col>
      <xdr:colOff>446282</xdr:colOff>
      <xdr:row>235</xdr:row>
      <xdr:rowOff>2419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0</xdr:colOff>
      <xdr:row>185</xdr:row>
      <xdr:rowOff>0</xdr:rowOff>
    </xdr:from>
    <xdr:to>
      <xdr:col>64</xdr:col>
      <xdr:colOff>446282</xdr:colOff>
      <xdr:row>209</xdr:row>
      <xdr:rowOff>2419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0</xdr:colOff>
      <xdr:row>237</xdr:row>
      <xdr:rowOff>0</xdr:rowOff>
    </xdr:from>
    <xdr:to>
      <xdr:col>64</xdr:col>
      <xdr:colOff>446282</xdr:colOff>
      <xdr:row>261</xdr:row>
      <xdr:rowOff>2418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304560</xdr:colOff>
      <xdr:row>1</xdr:row>
      <xdr:rowOff>92364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598863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598863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291793</xdr:colOff>
      <xdr:row>1</xdr:row>
      <xdr:rowOff>92364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115369" y="292485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115369" y="292485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238088</xdr:colOff>
      <xdr:row>1</xdr:row>
      <xdr:rowOff>92364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85240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85240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87072</xdr:colOff>
      <xdr:row>1</xdr:row>
      <xdr:rowOff>92364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87072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87072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336595</xdr:colOff>
      <xdr:row>1</xdr:row>
      <xdr:rowOff>92364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7748777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7748777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6</xdr:col>
      <xdr:colOff>285799</xdr:colOff>
      <xdr:row>1</xdr:row>
      <xdr:rowOff>92364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8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5227254" y="292485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" name="CuadroTexto 8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5227254" y="292485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263902</xdr:colOff>
      <xdr:row>1</xdr:row>
      <xdr:rowOff>92364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6028932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6028932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68657</xdr:colOff>
      <xdr:row>1</xdr:row>
      <xdr:rowOff>92364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4186536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4186536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14</xdr:col>
      <xdr:colOff>349864</xdr:colOff>
      <xdr:row>1</xdr:row>
      <xdr:rowOff>92364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11879925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11879925" y="292485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11</xdr:col>
      <xdr:colOff>313609</xdr:colOff>
      <xdr:row>1</xdr:row>
      <xdr:rowOff>92364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9372942" y="292485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5" name="CuadroTexto 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9372942" y="292485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12</xdr:col>
      <xdr:colOff>291712</xdr:colOff>
      <xdr:row>1</xdr:row>
      <xdr:rowOff>92364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10174621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10174621" y="292485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10</xdr:col>
      <xdr:colOff>99137</xdr:colOff>
      <xdr:row>1</xdr:row>
      <xdr:rowOff>92364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8334895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8334895" y="29248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315790</xdr:colOff>
      <xdr:row>25</xdr:row>
      <xdr:rowOff>78509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3610093" y="525087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3610093" y="525087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231752</xdr:colOff>
      <xdr:row>25</xdr:row>
      <xdr:rowOff>78509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055328" y="525087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9" name="CuadroTexto 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055328" y="525087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209855</xdr:colOff>
      <xdr:row>25</xdr:row>
      <xdr:rowOff>78509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 txBox="1"/>
          </xdr:nvSpPr>
          <xdr:spPr>
            <a:xfrm>
              <a:off x="1857007" y="525087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 txBox="1"/>
          </xdr:nvSpPr>
          <xdr:spPr>
            <a:xfrm>
              <a:off x="1857007" y="525087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112375</xdr:colOff>
      <xdr:row>25</xdr:row>
      <xdr:rowOff>78509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112375" y="525087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112375" y="525087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272102</xdr:colOff>
      <xdr:row>25</xdr:row>
      <xdr:rowOff>78509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8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5213557" y="525087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8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5213557" y="525087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259475</xdr:colOff>
      <xdr:row>25</xdr:row>
      <xdr:rowOff>78509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9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6024505" y="525087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9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6024505" y="525087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315228</xdr:colOff>
      <xdr:row>25</xdr:row>
      <xdr:rowOff>78509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 txBox="1"/>
          </xdr:nvSpPr>
          <xdr:spPr>
            <a:xfrm>
              <a:off x="7727410" y="525087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 txBox="1"/>
          </xdr:nvSpPr>
          <xdr:spPr>
            <a:xfrm>
              <a:off x="7727410" y="525087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106834</xdr:colOff>
      <xdr:row>25</xdr:row>
      <xdr:rowOff>78509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4224713" y="525087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4224713" y="525087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twoCellAnchor>
    <xdr:from>
      <xdr:col>2</xdr:col>
      <xdr:colOff>165100</xdr:colOff>
      <xdr:row>48</xdr:row>
      <xdr:rowOff>114300</xdr:rowOff>
    </xdr:from>
    <xdr:to>
      <xdr:col>16</xdr:col>
      <xdr:colOff>12700</xdr:colOff>
      <xdr:row>74</xdr:row>
      <xdr:rowOff>43415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304030</xdr:colOff>
      <xdr:row>25</xdr:row>
      <xdr:rowOff>78509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8">
              <a:extLst>
                <a:ext uri="{FF2B5EF4-FFF2-40B4-BE49-F238E27FC236}">
                  <a16:creationId xmlns:a16="http://schemas.microsoft.com/office/drawing/2014/main" id="{74837319-3642-6441-B43B-FDEC7B6DC789}"/>
                </a:ext>
              </a:extLst>
            </xdr:cNvPr>
            <xdr:cNvSpPr txBox="1"/>
          </xdr:nvSpPr>
          <xdr:spPr>
            <a:xfrm>
              <a:off x="6892636" y="525087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8">
              <a:extLst>
                <a:ext uri="{FF2B5EF4-FFF2-40B4-BE49-F238E27FC236}">
                  <a16:creationId xmlns:a16="http://schemas.microsoft.com/office/drawing/2014/main" id="{74837319-3642-6441-B43B-FDEC7B6DC789}"/>
                </a:ext>
              </a:extLst>
            </xdr:cNvPr>
            <xdr:cNvSpPr txBox="1"/>
          </xdr:nvSpPr>
          <xdr:spPr>
            <a:xfrm>
              <a:off x="6892636" y="525087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300181</xdr:colOff>
      <xdr:row>25</xdr:row>
      <xdr:rowOff>78509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8">
              <a:extLst>
                <a:ext uri="{FF2B5EF4-FFF2-40B4-BE49-F238E27FC236}">
                  <a16:creationId xmlns:a16="http://schemas.microsoft.com/office/drawing/2014/main" id="{272592A2-6B5B-A241-9A71-8080AA123CB9}"/>
                </a:ext>
              </a:extLst>
            </xdr:cNvPr>
            <xdr:cNvSpPr txBox="1"/>
          </xdr:nvSpPr>
          <xdr:spPr>
            <a:xfrm>
              <a:off x="2770908" y="525087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8">
              <a:extLst>
                <a:ext uri="{FF2B5EF4-FFF2-40B4-BE49-F238E27FC236}">
                  <a16:creationId xmlns:a16="http://schemas.microsoft.com/office/drawing/2014/main" id="{272592A2-6B5B-A241-9A71-8080AA123CB9}"/>
                </a:ext>
              </a:extLst>
            </xdr:cNvPr>
            <xdr:cNvSpPr txBox="1"/>
          </xdr:nvSpPr>
          <xdr:spPr>
            <a:xfrm>
              <a:off x="2770908" y="525087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300181</xdr:colOff>
      <xdr:row>1</xdr:row>
      <xdr:rowOff>92364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8">
              <a:extLst>
                <a:ext uri="{FF2B5EF4-FFF2-40B4-BE49-F238E27FC236}">
                  <a16:creationId xmlns:a16="http://schemas.microsoft.com/office/drawing/2014/main" id="{830B62D9-9CDB-3945-BE7F-671CBF96A3CC}"/>
                </a:ext>
              </a:extLst>
            </xdr:cNvPr>
            <xdr:cNvSpPr txBox="1"/>
          </xdr:nvSpPr>
          <xdr:spPr>
            <a:xfrm>
              <a:off x="2770908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8">
              <a:extLst>
                <a:ext uri="{FF2B5EF4-FFF2-40B4-BE49-F238E27FC236}">
                  <a16:creationId xmlns:a16="http://schemas.microsoft.com/office/drawing/2014/main" id="{830B62D9-9CDB-3945-BE7F-671CBF96A3CC}"/>
                </a:ext>
              </a:extLst>
            </xdr:cNvPr>
            <xdr:cNvSpPr txBox="1"/>
          </xdr:nvSpPr>
          <xdr:spPr>
            <a:xfrm>
              <a:off x="2770908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330970</xdr:colOff>
      <xdr:row>1</xdr:row>
      <xdr:rowOff>92364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3845B2B3-C485-A64E-9B60-27FCA398422E}"/>
                </a:ext>
              </a:extLst>
            </xdr:cNvPr>
            <xdr:cNvSpPr txBox="1"/>
          </xdr:nvSpPr>
          <xdr:spPr>
            <a:xfrm>
              <a:off x="6919576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3845B2B3-C485-A64E-9B60-27FCA398422E}"/>
                </a:ext>
              </a:extLst>
            </xdr:cNvPr>
            <xdr:cNvSpPr txBox="1"/>
          </xdr:nvSpPr>
          <xdr:spPr>
            <a:xfrm>
              <a:off x="6919576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13</xdr:col>
      <xdr:colOff>292485</xdr:colOff>
      <xdr:row>1</xdr:row>
      <xdr:rowOff>92364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8">
              <a:extLst>
                <a:ext uri="{FF2B5EF4-FFF2-40B4-BE49-F238E27FC236}">
                  <a16:creationId xmlns:a16="http://schemas.microsoft.com/office/drawing/2014/main" id="{86A13501-2907-3442-8DC9-E8C6B22E78A6}"/>
                </a:ext>
              </a:extLst>
            </xdr:cNvPr>
            <xdr:cNvSpPr txBox="1"/>
          </xdr:nvSpPr>
          <xdr:spPr>
            <a:xfrm>
              <a:off x="10998970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8">
              <a:extLst>
                <a:ext uri="{FF2B5EF4-FFF2-40B4-BE49-F238E27FC236}">
                  <a16:creationId xmlns:a16="http://schemas.microsoft.com/office/drawing/2014/main" id="{86A13501-2907-3442-8DC9-E8C6B22E78A6}"/>
                </a:ext>
              </a:extLst>
            </xdr:cNvPr>
            <xdr:cNvSpPr txBox="1"/>
          </xdr:nvSpPr>
          <xdr:spPr>
            <a:xfrm>
              <a:off x="10998970" y="29248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48</xdr:row>
      <xdr:rowOff>114300</xdr:rowOff>
    </xdr:from>
    <xdr:to>
      <xdr:col>16</xdr:col>
      <xdr:colOff>12700</xdr:colOff>
      <xdr:row>74</xdr:row>
      <xdr:rowOff>43415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1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00000000-0008-0000-0700-000017000000}"/>
                </a:ext>
              </a:extLst>
            </xdr:cNvPr>
            <xdr:cNvSpPr txBox="1"/>
          </xdr:nvSpPr>
          <xdr:spPr>
            <a:xfrm>
              <a:off x="4368800" y="4674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36A21871-A532-C141-9690-E974E1498ED2}"/>
                </a:ext>
              </a:extLst>
            </xdr:cNvPr>
            <xdr:cNvSpPr txBox="1"/>
          </xdr:nvSpPr>
          <xdr:spPr>
            <a:xfrm>
              <a:off x="4368800" y="4674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198494</xdr:colOff>
      <xdr:row>1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8">
              <a:extLst>
                <a:ext uri="{FF2B5EF4-FFF2-40B4-BE49-F238E27FC236}">
                  <a16:creationId xmlns:a16="http://schemas.microsoft.com/office/drawing/2014/main" id="{00000000-0008-0000-0700-000018000000}"/>
                </a:ext>
              </a:extLst>
            </xdr:cNvPr>
            <xdr:cNvSpPr txBox="1"/>
          </xdr:nvSpPr>
          <xdr:spPr>
            <a:xfrm>
              <a:off x="1849494" y="4785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8">
              <a:extLst>
                <a:ext uri="{FF2B5EF4-FFF2-40B4-BE49-F238E27FC236}">
                  <a16:creationId xmlns:a16="http://schemas.microsoft.com/office/drawing/2014/main" id="{FFC0794A-9D4A-294A-8338-6142595EB1A3}"/>
                </a:ext>
              </a:extLst>
            </xdr:cNvPr>
            <xdr:cNvSpPr txBox="1"/>
          </xdr:nvSpPr>
          <xdr:spPr>
            <a:xfrm>
              <a:off x="1849494" y="4785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182412</xdr:colOff>
      <xdr:row>1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8">
              <a:extLst>
                <a:ext uri="{FF2B5EF4-FFF2-40B4-BE49-F238E27FC236}">
                  <a16:creationId xmlns:a16="http://schemas.microsoft.com/office/drawing/2014/main" id="{00000000-0008-0000-0700-000019000000}"/>
                </a:ext>
              </a:extLst>
            </xdr:cNvPr>
            <xdr:cNvSpPr txBox="1"/>
          </xdr:nvSpPr>
          <xdr:spPr>
            <a:xfrm>
              <a:off x="2658912" y="4649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8">
              <a:extLst>
                <a:ext uri="{FF2B5EF4-FFF2-40B4-BE49-F238E27FC236}">
                  <a16:creationId xmlns:a16="http://schemas.microsoft.com/office/drawing/2014/main" id="{0E8291F5-53B5-9648-A137-AB508AEE40D2}"/>
                </a:ext>
              </a:extLst>
            </xdr:cNvPr>
            <xdr:cNvSpPr txBox="1"/>
          </xdr:nvSpPr>
          <xdr:spPr>
            <a:xfrm>
              <a:off x="2658912" y="4649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44743</xdr:colOff>
      <xdr:row>1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00000000-0008-0000-0700-00001A000000}"/>
                </a:ext>
              </a:extLst>
            </xdr:cNvPr>
            <xdr:cNvSpPr txBox="1"/>
          </xdr:nvSpPr>
          <xdr:spPr>
            <a:xfrm>
              <a:off x="870243" y="5062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98A544B6-0033-6F4A-97DD-0071430807F6}"/>
                </a:ext>
              </a:extLst>
            </xdr:cNvPr>
            <xdr:cNvSpPr txBox="1"/>
          </xdr:nvSpPr>
          <xdr:spPr>
            <a:xfrm>
              <a:off x="870243" y="5062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3</xdr:col>
      <xdr:colOff>302872</xdr:colOff>
      <xdr:row>1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8">
              <a:extLst>
                <a:ext uri="{FF2B5EF4-FFF2-40B4-BE49-F238E27FC236}">
                  <a16:creationId xmlns:a16="http://schemas.microsoft.com/office/drawing/2014/main" id="{00000000-0008-0000-0700-00001B000000}"/>
                </a:ext>
              </a:extLst>
            </xdr:cNvPr>
            <xdr:cNvSpPr txBox="1"/>
          </xdr:nvSpPr>
          <xdr:spPr>
            <a:xfrm>
              <a:off x="3604872" y="4924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8">
              <a:extLst>
                <a:ext uri="{FF2B5EF4-FFF2-40B4-BE49-F238E27FC236}">
                  <a16:creationId xmlns:a16="http://schemas.microsoft.com/office/drawing/2014/main" id="{C92F02CC-3F19-0A45-85A3-FCA007184873}"/>
                </a:ext>
              </a:extLst>
            </xdr:cNvPr>
            <xdr:cNvSpPr txBox="1"/>
          </xdr:nvSpPr>
          <xdr:spPr>
            <a:xfrm>
              <a:off x="3604872" y="4924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241300</xdr:colOff>
      <xdr:row>1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00000000-0008-0000-0700-00001C000000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4CE6DC57-CE83-6D43-825D-AEB87C0D2605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6</xdr:col>
      <xdr:colOff>198494</xdr:colOff>
      <xdr:row>1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8">
              <a:extLst>
                <a:ext uri="{FF2B5EF4-FFF2-40B4-BE49-F238E27FC236}">
                  <a16:creationId xmlns:a16="http://schemas.microsoft.com/office/drawing/2014/main" id="{00000000-0008-0000-0700-00001D000000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8">
              <a:extLst>
                <a:ext uri="{FF2B5EF4-FFF2-40B4-BE49-F238E27FC236}">
                  <a16:creationId xmlns:a16="http://schemas.microsoft.com/office/drawing/2014/main" id="{FB033468-F9C7-8840-9EDB-BF41F9267244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182412</xdr:colOff>
      <xdr:row>1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00000000-0008-0000-0700-00001E000000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96BFFEC2-E114-5648-8C8B-EF2E24C6E820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44743</xdr:colOff>
      <xdr:row>1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00000000-0008-0000-0700-00001F000000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BE2BC8DD-C7E8-AC43-A26C-E71D97421C0C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302872</xdr:colOff>
      <xdr:row>1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8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8">
              <a:extLst>
                <a:ext uri="{FF2B5EF4-FFF2-40B4-BE49-F238E27FC236}">
                  <a16:creationId xmlns:a16="http://schemas.microsoft.com/office/drawing/2014/main" id="{BB842BA1-5DA8-154D-9C7E-B66662BD7315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14</xdr:col>
      <xdr:colOff>241300</xdr:colOff>
      <xdr:row>1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00000000-0008-0000-0700-000021000000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DE5AB297-DD75-7D43-9DDC-6B062372DD18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11</xdr:col>
      <xdr:colOff>198494</xdr:colOff>
      <xdr:row>1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8">
              <a:extLst>
                <a:ext uri="{FF2B5EF4-FFF2-40B4-BE49-F238E27FC236}">
                  <a16:creationId xmlns:a16="http://schemas.microsoft.com/office/drawing/2014/main" id="{00000000-0008-0000-0700-000022000000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8">
              <a:extLst>
                <a:ext uri="{FF2B5EF4-FFF2-40B4-BE49-F238E27FC236}">
                  <a16:creationId xmlns:a16="http://schemas.microsoft.com/office/drawing/2014/main" id="{BD59AD0B-EDA3-D44D-8C7A-A587E4FB7F8B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12</xdr:col>
      <xdr:colOff>182412</xdr:colOff>
      <xdr:row>1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8">
              <a:extLst>
                <a:ext uri="{FF2B5EF4-FFF2-40B4-BE49-F238E27FC236}">
                  <a16:creationId xmlns:a16="http://schemas.microsoft.com/office/drawing/2014/main" id="{00000000-0008-0000-0700-000023000000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8">
              <a:extLst>
                <a:ext uri="{FF2B5EF4-FFF2-40B4-BE49-F238E27FC236}">
                  <a16:creationId xmlns:a16="http://schemas.microsoft.com/office/drawing/2014/main" id="{878612E5-4B1F-FC43-9735-15439C146F53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10</xdr:col>
      <xdr:colOff>44743</xdr:colOff>
      <xdr:row>1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00000000-0008-0000-0700-000024000000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AED47BE8-E881-D64D-8E73-5DDC999C0E76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13</xdr:col>
      <xdr:colOff>302872</xdr:colOff>
      <xdr:row>1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8">
              <a:extLst>
                <a:ext uri="{FF2B5EF4-FFF2-40B4-BE49-F238E27FC236}">
                  <a16:creationId xmlns:a16="http://schemas.microsoft.com/office/drawing/2014/main" id="{00000000-0008-0000-0700-000025000000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7" name="CuadroTexto 8">
              <a:extLst>
                <a:ext uri="{FF2B5EF4-FFF2-40B4-BE49-F238E27FC236}">
                  <a16:creationId xmlns:a16="http://schemas.microsoft.com/office/drawing/2014/main" id="{B40BC7AC-03D5-C445-A24F-427DDFC61D63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25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00000000-0008-0000-0700-000026000000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7DA13BDE-759B-A348-8071-3BC1F7194C42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198494</xdr:colOff>
      <xdr:row>25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8">
              <a:extLst>
                <a:ext uri="{FF2B5EF4-FFF2-40B4-BE49-F238E27FC236}">
                  <a16:creationId xmlns:a16="http://schemas.microsoft.com/office/drawing/2014/main" id="{00000000-0008-0000-0700-000027000000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9" name="CuadroTexto 8">
              <a:extLst>
                <a:ext uri="{FF2B5EF4-FFF2-40B4-BE49-F238E27FC236}">
                  <a16:creationId xmlns:a16="http://schemas.microsoft.com/office/drawing/2014/main" id="{EBE13A12-F372-6348-B1F3-433CBC98C32C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182412</xdr:colOff>
      <xdr:row>25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8">
              <a:extLst>
                <a:ext uri="{FF2B5EF4-FFF2-40B4-BE49-F238E27FC236}">
                  <a16:creationId xmlns:a16="http://schemas.microsoft.com/office/drawing/2014/main" id="{00000000-0008-0000-0700-000028000000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8">
              <a:extLst>
                <a:ext uri="{FF2B5EF4-FFF2-40B4-BE49-F238E27FC236}">
                  <a16:creationId xmlns:a16="http://schemas.microsoft.com/office/drawing/2014/main" id="{5118046F-4D2C-244F-91AC-7957F193D7C1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44743</xdr:colOff>
      <xdr:row>25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00000000-0008-0000-0700-000029000000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2C8688CE-5ECA-154C-AB2C-41B665F6855E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3</xdr:col>
      <xdr:colOff>302872</xdr:colOff>
      <xdr:row>25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8">
              <a:extLst>
                <a:ext uri="{FF2B5EF4-FFF2-40B4-BE49-F238E27FC236}">
                  <a16:creationId xmlns:a16="http://schemas.microsoft.com/office/drawing/2014/main" id="{00000000-0008-0000-0700-00002A000000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2" name="CuadroTexto 8">
              <a:extLst>
                <a:ext uri="{FF2B5EF4-FFF2-40B4-BE49-F238E27FC236}">
                  <a16:creationId xmlns:a16="http://schemas.microsoft.com/office/drawing/2014/main" id="{104B86F1-CE03-9640-9DC4-65853693729B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241300</xdr:colOff>
      <xdr:row>25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00000000-0008-0000-0700-00002B000000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65A4D5F6-EB64-5347-92EC-B7C73FF6CC16}"/>
                </a:ext>
              </a:extLst>
            </xdr:cNvPr>
            <xdr:cNvSpPr txBox="1"/>
          </xdr:nvSpPr>
          <xdr:spPr>
            <a:xfrm>
              <a:off x="3543300" y="264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6</xdr:col>
      <xdr:colOff>198494</xdr:colOff>
      <xdr:row>25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8">
              <a:extLst>
                <a:ext uri="{FF2B5EF4-FFF2-40B4-BE49-F238E27FC236}">
                  <a16:creationId xmlns:a16="http://schemas.microsoft.com/office/drawing/2014/main" id="{00000000-0008-0000-0700-00002C000000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8">
              <a:extLst>
                <a:ext uri="{FF2B5EF4-FFF2-40B4-BE49-F238E27FC236}">
                  <a16:creationId xmlns:a16="http://schemas.microsoft.com/office/drawing/2014/main" id="{CC9A9C9A-94DE-2142-BCBF-BB3FD6F8E8A7}"/>
                </a:ext>
              </a:extLst>
            </xdr:cNvPr>
            <xdr:cNvSpPr txBox="1"/>
          </xdr:nvSpPr>
          <xdr:spPr>
            <a:xfrm>
              <a:off x="1023994" y="275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182412</xdr:colOff>
      <xdr:row>25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8">
              <a:extLst>
                <a:ext uri="{FF2B5EF4-FFF2-40B4-BE49-F238E27FC236}">
                  <a16:creationId xmlns:a16="http://schemas.microsoft.com/office/drawing/2014/main" id="{00000000-0008-0000-0700-00002D000000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8">
              <a:extLst>
                <a:ext uri="{FF2B5EF4-FFF2-40B4-BE49-F238E27FC236}">
                  <a16:creationId xmlns:a16="http://schemas.microsoft.com/office/drawing/2014/main" id="{7EDDD16C-1ECC-4E40-9A8E-AACA5A54A24E}"/>
                </a:ext>
              </a:extLst>
            </xdr:cNvPr>
            <xdr:cNvSpPr txBox="1"/>
          </xdr:nvSpPr>
          <xdr:spPr>
            <a:xfrm>
              <a:off x="1833412" y="261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44743</xdr:colOff>
      <xdr:row>25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00000000-0008-0000-0700-00002E000000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59E02B9E-4DCD-7F45-B84B-3B19D22D7EE8}"/>
                </a:ext>
              </a:extLst>
            </xdr:cNvPr>
            <xdr:cNvSpPr txBox="1"/>
          </xdr:nvSpPr>
          <xdr:spPr>
            <a:xfrm>
              <a:off x="44743" y="303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302872</xdr:colOff>
      <xdr:row>25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8">
              <a:extLst>
                <a:ext uri="{FF2B5EF4-FFF2-40B4-BE49-F238E27FC236}">
                  <a16:creationId xmlns:a16="http://schemas.microsoft.com/office/drawing/2014/main" id="{00000000-0008-0000-0700-00002F000000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7" name="CuadroTexto 8">
              <a:extLst>
                <a:ext uri="{FF2B5EF4-FFF2-40B4-BE49-F238E27FC236}">
                  <a16:creationId xmlns:a16="http://schemas.microsoft.com/office/drawing/2014/main" id="{4E2C40E9-E38F-0C43-A50B-07198CEFF374}"/>
                </a:ext>
              </a:extLst>
            </xdr:cNvPr>
            <xdr:cNvSpPr txBox="1"/>
          </xdr:nvSpPr>
          <xdr:spPr>
            <a:xfrm>
              <a:off x="2779372" y="289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508000</xdr:colOff>
      <xdr:row>1</xdr:row>
      <xdr:rowOff>101600</xdr:rowOff>
    </xdr:from>
    <xdr:to>
      <xdr:col>52</xdr:col>
      <xdr:colOff>25400</xdr:colOff>
      <xdr:row>22</xdr:row>
      <xdr:rowOff>40544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9800" y="101600"/>
          <a:ext cx="7772400" cy="4383944"/>
        </a:xfrm>
        <a:prstGeom prst="rect">
          <a:avLst/>
        </a:prstGeom>
      </xdr:spPr>
    </xdr:pic>
    <xdr:clientData/>
  </xdr:twoCellAnchor>
  <xdr:oneCellAnchor>
    <xdr:from>
      <xdr:col>5</xdr:col>
      <xdr:colOff>212743</xdr:colOff>
      <xdr:row>2</xdr:row>
      <xdr:rowOff>191110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4340243" y="39431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E8888B05-790E-AE4A-9C53-EF0ED984288B}"/>
                </a:ext>
              </a:extLst>
            </xdr:cNvPr>
            <xdr:cNvSpPr txBox="1"/>
          </xdr:nvSpPr>
          <xdr:spPr>
            <a:xfrm>
              <a:off x="4340243" y="39431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284096</xdr:colOff>
      <xdr:row>3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935096" y="49646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9C9908B9-0CE6-A444-9C8A-88B541496899}"/>
                </a:ext>
              </a:extLst>
            </xdr:cNvPr>
            <xdr:cNvSpPr txBox="1"/>
          </xdr:nvSpPr>
          <xdr:spPr>
            <a:xfrm>
              <a:off x="1935096" y="49646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230391</xdr:colOff>
      <xdr:row>3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706891" y="48361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FF580D27-072C-2342-A910-2F6A10598050}"/>
                </a:ext>
              </a:extLst>
            </xdr:cNvPr>
            <xdr:cNvSpPr txBox="1"/>
          </xdr:nvSpPr>
          <xdr:spPr>
            <a:xfrm>
              <a:off x="2706891" y="48361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272102</xdr:colOff>
      <xdr:row>122</xdr:row>
      <xdr:rowOff>83713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8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922175" y="2513145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" name="CuadroTexto 8">
              <a:extLst>
                <a:ext uri="{FF2B5EF4-FFF2-40B4-BE49-F238E27FC236}">
                  <a16:creationId xmlns:a16="http://schemas.microsoft.com/office/drawing/2014/main" id="{45465F98-9E00-CE40-9B9F-3E131F4136CF}"/>
                </a:ext>
              </a:extLst>
            </xdr:cNvPr>
            <xdr:cNvSpPr txBox="1"/>
          </xdr:nvSpPr>
          <xdr:spPr>
            <a:xfrm>
              <a:off x="1922175" y="2513145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259475</xdr:colOff>
      <xdr:row>122</xdr:row>
      <xdr:rowOff>66924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2734584" y="2511466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DA71A45E-A9FE-7E44-92E7-0D5E8F66F498}"/>
                </a:ext>
              </a:extLst>
            </xdr:cNvPr>
            <xdr:cNvSpPr txBox="1"/>
          </xdr:nvSpPr>
          <xdr:spPr>
            <a:xfrm>
              <a:off x="2734584" y="2511466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1</xdr:col>
      <xdr:colOff>174012</xdr:colOff>
      <xdr:row>153</xdr:row>
      <xdr:rowOff>166883</xdr:rowOff>
    </xdr:from>
    <xdr:to>
      <xdr:col>18</xdr:col>
      <xdr:colOff>1074616</xdr:colOff>
      <xdr:row>177</xdr:row>
      <xdr:rowOff>195609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304800</xdr:colOff>
      <xdr:row>2</xdr:row>
      <xdr:rowOff>101601</xdr:rowOff>
    </xdr:from>
    <xdr:to>
      <xdr:col>41</xdr:col>
      <xdr:colOff>215900</xdr:colOff>
      <xdr:row>26</xdr:row>
      <xdr:rowOff>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228600</xdr:colOff>
      <xdr:row>32</xdr:row>
      <xdr:rowOff>114300</xdr:rowOff>
    </xdr:from>
    <xdr:to>
      <xdr:col>41</xdr:col>
      <xdr:colOff>139700</xdr:colOff>
      <xdr:row>56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62</xdr:row>
      <xdr:rowOff>12700</xdr:rowOff>
    </xdr:from>
    <xdr:to>
      <xdr:col>41</xdr:col>
      <xdr:colOff>215900</xdr:colOff>
      <xdr:row>85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461817</xdr:colOff>
      <xdr:row>91</xdr:row>
      <xdr:rowOff>57727</xdr:rowOff>
    </xdr:from>
    <xdr:to>
      <xdr:col>41</xdr:col>
      <xdr:colOff>370993</xdr:colOff>
      <xdr:row>114</xdr:row>
      <xdr:rowOff>159327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404090</xdr:colOff>
      <xdr:row>121</xdr:row>
      <xdr:rowOff>153939</xdr:rowOff>
    </xdr:from>
    <xdr:to>
      <xdr:col>41</xdr:col>
      <xdr:colOff>313266</xdr:colOff>
      <xdr:row>145</xdr:row>
      <xdr:rowOff>43873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15</xdr:col>
      <xdr:colOff>76638</xdr:colOff>
      <xdr:row>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SpPr txBox="1"/>
          </xdr:nvSpPr>
          <xdr:spPr>
            <a:xfrm>
              <a:off x="9564850" y="486109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8FD6F807-CECA-BF42-BBFD-49350D42E5DA}"/>
                </a:ext>
              </a:extLst>
            </xdr:cNvPr>
            <xdr:cNvSpPr txBox="1"/>
          </xdr:nvSpPr>
          <xdr:spPr>
            <a:xfrm>
              <a:off x="9564850" y="486109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SpPr txBox="1"/>
          </xdr:nvSpPr>
          <xdr:spPr>
            <a:xfrm>
              <a:off x="10122964" y="464212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36E95780-55DA-444B-8A04-94A61E240200}"/>
                </a:ext>
              </a:extLst>
            </xdr:cNvPr>
            <xdr:cNvSpPr txBox="1"/>
          </xdr:nvSpPr>
          <xdr:spPr>
            <a:xfrm>
              <a:off x="10122964" y="464212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SpPr txBox="1"/>
          </xdr:nvSpPr>
          <xdr:spPr>
            <a:xfrm>
              <a:off x="149737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F5548D54-E3BA-8C4F-84AD-A33483EC41A5}"/>
                </a:ext>
              </a:extLst>
            </xdr:cNvPr>
            <xdr:cNvSpPr txBox="1"/>
          </xdr:nvSpPr>
          <xdr:spPr>
            <a:xfrm>
              <a:off x="149737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00000000-0008-0000-0600-000017000000}"/>
                </a:ext>
              </a:extLst>
            </xdr:cNvPr>
            <xdr:cNvSpPr txBox="1"/>
          </xdr:nvSpPr>
          <xdr:spPr>
            <a:xfrm>
              <a:off x="155331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05FE2FB3-1E39-1D49-943F-556B3A720E18}"/>
                </a:ext>
              </a:extLst>
            </xdr:cNvPr>
            <xdr:cNvSpPr txBox="1"/>
          </xdr:nvSpPr>
          <xdr:spPr>
            <a:xfrm>
              <a:off x="155331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SpPr txBox="1"/>
          </xdr:nvSpPr>
          <xdr:spPr>
            <a:xfrm>
              <a:off x="12273286" y="49705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FFEFA015-3D1D-944D-9530-D0DDB8DAA7E8}"/>
                </a:ext>
              </a:extLst>
            </xdr:cNvPr>
            <xdr:cNvSpPr txBox="1"/>
          </xdr:nvSpPr>
          <xdr:spPr>
            <a:xfrm>
              <a:off x="12273286" y="49705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SpPr txBox="1"/>
          </xdr:nvSpPr>
          <xdr:spPr>
            <a:xfrm>
              <a:off x="183896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9A4F40FB-E8B7-2740-AE25-9B2A9A81C7AB}"/>
                </a:ext>
              </a:extLst>
            </xdr:cNvPr>
            <xdr:cNvSpPr txBox="1"/>
          </xdr:nvSpPr>
          <xdr:spPr>
            <a:xfrm>
              <a:off x="183896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SpPr txBox="1"/>
          </xdr:nvSpPr>
          <xdr:spPr>
            <a:xfrm>
              <a:off x="177565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6F07BF93-C722-4447-AE0A-61ED016F307A}"/>
                </a:ext>
              </a:extLst>
            </xdr:cNvPr>
            <xdr:cNvSpPr txBox="1"/>
          </xdr:nvSpPr>
          <xdr:spPr>
            <a:xfrm>
              <a:off x="177565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762455</xdr:colOff>
      <xdr:row>27</xdr:row>
      <xdr:rowOff>124946</xdr:rowOff>
    </xdr:from>
    <xdr:ext cx="5091330" cy="2779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SpPr txBox="1"/>
          </xdr:nvSpPr>
          <xdr:spPr>
            <a:xfrm>
              <a:off x="762455" y="5794226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SpPr txBox="1"/>
          </xdr:nvSpPr>
          <xdr:spPr>
            <a:xfrm>
              <a:off x="762455" y="5794226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)=47(−1;−2;−1;−3)𝑑𝐵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388582</xdr:colOff>
      <xdr:row>28</xdr:row>
      <xdr:rowOff>4738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600-00001C000000}"/>
                </a:ext>
              </a:extLst>
            </xdr:cNvPr>
            <xdr:cNvSpPr txBox="1"/>
          </xdr:nvSpPr>
          <xdr:spPr>
            <a:xfrm>
              <a:off x="6228728" y="568729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ECFE4CD-E365-1248-8050-FB69C20D17D1}"/>
                </a:ext>
              </a:extLst>
            </xdr:cNvPr>
            <xdr:cNvSpPr txBox="1"/>
          </xdr:nvSpPr>
          <xdr:spPr>
            <a:xfrm>
              <a:off x="6228728" y="568729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322996</xdr:colOff>
      <xdr:row>27</xdr:row>
      <xdr:rowOff>195049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SpPr txBox="1"/>
          </xdr:nvSpPr>
          <xdr:spPr>
            <a:xfrm>
              <a:off x="11484164" y="5673662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6CA5A22-072A-FC46-AC3E-A75E0AA23697}"/>
                </a:ext>
              </a:extLst>
            </xdr:cNvPr>
            <xdr:cNvSpPr txBox="1"/>
          </xdr:nvSpPr>
          <xdr:spPr>
            <a:xfrm>
              <a:off x="11484164" y="5673662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50−5000)=47+(−3)=44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194304</xdr:colOff>
      <xdr:row>28</xdr:row>
      <xdr:rowOff>184454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600-00001E000000}"/>
                </a:ext>
              </a:extLst>
            </xdr:cNvPr>
            <xdr:cNvSpPr txBox="1"/>
          </xdr:nvSpPr>
          <xdr:spPr>
            <a:xfrm>
              <a:off x="5787435" y="590586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600-00001E000000}"/>
                </a:ext>
              </a:extLst>
            </xdr:cNvPr>
            <xdr:cNvSpPr txBox="1"/>
          </xdr:nvSpPr>
          <xdr:spPr>
            <a:xfrm>
              <a:off x="5787435" y="590586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166696</xdr:colOff>
      <xdr:row>28</xdr:row>
      <xdr:rowOff>125810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600-00001F000000}"/>
                </a:ext>
              </a:extLst>
            </xdr:cNvPr>
            <xdr:cNvSpPr txBox="1"/>
          </xdr:nvSpPr>
          <xdr:spPr>
            <a:xfrm>
              <a:off x="10711544" y="584722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600-00001F000000}"/>
                </a:ext>
              </a:extLst>
            </xdr:cNvPr>
            <xdr:cNvSpPr txBox="1"/>
          </xdr:nvSpPr>
          <xdr:spPr>
            <a:xfrm>
              <a:off x="10711544" y="584722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𝑤^′+𝐶_𝑡𝑟=47+(−2)=45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185856</xdr:colOff>
      <xdr:row>32</xdr:row>
      <xdr:rowOff>197229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00000000-0008-0000-0600-000020000000}"/>
                </a:ext>
              </a:extLst>
            </xdr:cNvPr>
            <xdr:cNvSpPr txBox="1"/>
          </xdr:nvSpPr>
          <xdr:spPr>
            <a:xfrm>
              <a:off x="4290907" y="673965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59ED509E-A05B-4340-BFB2-6A410A0E262B}"/>
                </a:ext>
              </a:extLst>
            </xdr:cNvPr>
            <xdr:cNvSpPr txBox="1"/>
          </xdr:nvSpPr>
          <xdr:spPr>
            <a:xfrm>
              <a:off x="4290907" y="673965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217137</xdr:colOff>
      <xdr:row>62</xdr:row>
      <xdr:rowOff>191740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00000000-0008-0000-0600-000021000000}"/>
                </a:ext>
              </a:extLst>
            </xdr:cNvPr>
            <xdr:cNvSpPr txBox="1"/>
          </xdr:nvSpPr>
          <xdr:spPr>
            <a:xfrm>
              <a:off x="4322188" y="13084164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EAAB4D12-E656-7E4F-84AF-2D08623205EA}"/>
                </a:ext>
              </a:extLst>
            </xdr:cNvPr>
            <xdr:cNvSpPr txBox="1"/>
          </xdr:nvSpPr>
          <xdr:spPr>
            <a:xfrm>
              <a:off x="4322188" y="13084164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315647</xdr:colOff>
      <xdr:row>92</xdr:row>
      <xdr:rowOff>20307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SpPr txBox="1"/>
          </xdr:nvSpPr>
          <xdr:spPr>
            <a:xfrm>
              <a:off x="4453849" y="1881345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57BB58C1-4DD3-E043-8E27-AB07659D1BFB}"/>
                </a:ext>
              </a:extLst>
            </xdr:cNvPr>
            <xdr:cNvSpPr txBox="1"/>
          </xdr:nvSpPr>
          <xdr:spPr>
            <a:xfrm>
              <a:off x="4453849" y="18813453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212601</xdr:colOff>
      <xdr:row>122</xdr:row>
      <xdr:rowOff>12298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00000000-0008-0000-0600-000023000000}"/>
                </a:ext>
              </a:extLst>
            </xdr:cNvPr>
            <xdr:cNvSpPr txBox="1"/>
          </xdr:nvSpPr>
          <xdr:spPr>
            <a:xfrm>
              <a:off x="4317652" y="25643207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8002AE98-2F14-ED40-9387-4BD1CACB1A24}"/>
                </a:ext>
              </a:extLst>
            </xdr:cNvPr>
            <xdr:cNvSpPr txBox="1"/>
          </xdr:nvSpPr>
          <xdr:spPr>
            <a:xfrm>
              <a:off x="4317652" y="25643207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155965</xdr:colOff>
      <xdr:row>57</xdr:row>
      <xdr:rowOff>77982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SpPr txBox="1"/>
          </xdr:nvSpPr>
          <xdr:spPr>
            <a:xfrm>
              <a:off x="979372" y="11940619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=24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−4;−4;−4;−5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SpPr txBox="1"/>
          </xdr:nvSpPr>
          <xdr:spPr>
            <a:xfrm>
              <a:off x="979372" y="11940619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)=24(−4;−4;−4;−5)𝑑𝐵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145368</xdr:colOff>
      <xdr:row>58</xdr:row>
      <xdr:rowOff>124126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600-00002B000000}"/>
                </a:ext>
              </a:extLst>
            </xdr:cNvPr>
            <xdr:cNvSpPr txBox="1"/>
          </xdr:nvSpPr>
          <xdr:spPr>
            <a:xfrm>
              <a:off x="6425588" y="12196104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600-00002B000000}"/>
                </a:ext>
              </a:extLst>
            </xdr:cNvPr>
            <xdr:cNvSpPr txBox="1"/>
          </xdr:nvSpPr>
          <xdr:spPr>
            <a:xfrm>
              <a:off x="6425588" y="12196104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525396</xdr:colOff>
      <xdr:row>58</xdr:row>
      <xdr:rowOff>113911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600-00002C000000}"/>
                </a:ext>
              </a:extLst>
            </xdr:cNvPr>
            <xdr:cNvSpPr txBox="1"/>
          </xdr:nvSpPr>
          <xdr:spPr>
            <a:xfrm>
              <a:off x="11704187" y="1218588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=19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600-00002C000000}"/>
                </a:ext>
              </a:extLst>
            </xdr:cNvPr>
            <xdr:cNvSpPr txBox="1"/>
          </xdr:nvSpPr>
          <xdr:spPr>
            <a:xfrm>
              <a:off x="11704187" y="1218588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50−5000)=24+(−5)=19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150865</xdr:colOff>
      <xdr:row>57</xdr:row>
      <xdr:rowOff>94956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00000000-0008-0000-0600-00002D000000}"/>
                </a:ext>
              </a:extLst>
            </xdr:cNvPr>
            <xdr:cNvSpPr txBox="1"/>
          </xdr:nvSpPr>
          <xdr:spPr>
            <a:xfrm>
              <a:off x="6431085" y="11957593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00000000-0008-0000-0600-00002D000000}"/>
                </a:ext>
              </a:extLst>
            </xdr:cNvPr>
            <xdr:cNvSpPr txBox="1"/>
          </xdr:nvSpPr>
          <xdr:spPr>
            <a:xfrm>
              <a:off x="6431085" y="11957593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511937</xdr:colOff>
      <xdr:row>57</xdr:row>
      <xdr:rowOff>100453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00000000-0008-0000-0600-00002E000000}"/>
                </a:ext>
              </a:extLst>
            </xdr:cNvPr>
            <xdr:cNvSpPr txBox="1"/>
          </xdr:nvSpPr>
          <xdr:spPr>
            <a:xfrm>
              <a:off x="11690728" y="1196309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00000000-0008-0000-0600-00002E000000}"/>
                </a:ext>
              </a:extLst>
            </xdr:cNvPr>
            <xdr:cNvSpPr txBox="1"/>
          </xdr:nvSpPr>
          <xdr:spPr>
            <a:xfrm>
              <a:off x="11690728" y="1196309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745670</xdr:colOff>
      <xdr:row>87</xdr:row>
      <xdr:rowOff>104014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0000000-0008-0000-0600-000035000000}"/>
                </a:ext>
              </a:extLst>
            </xdr:cNvPr>
            <xdr:cNvSpPr txBox="1"/>
          </xdr:nvSpPr>
          <xdr:spPr>
            <a:xfrm>
              <a:off x="745670" y="18358660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9556D04E-90A0-E14A-BF31-A387D1E1F17A}"/>
                </a:ext>
              </a:extLst>
            </xdr:cNvPr>
            <xdr:cNvSpPr txBox="1"/>
          </xdr:nvSpPr>
          <xdr:spPr>
            <a:xfrm>
              <a:off x="745670" y="18358660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)=37(0;−2;0;−3)𝑑𝐵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88</xdr:row>
      <xdr:rowOff>46144</xdr:rowOff>
    </xdr:from>
    <xdr:ext cx="448937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0000000-0008-0000-0600-000036000000}"/>
                </a:ext>
              </a:extLst>
            </xdr:cNvPr>
            <xdr:cNvSpPr txBox="1"/>
          </xdr:nvSpPr>
          <xdr:spPr>
            <a:xfrm>
              <a:off x="6267529" y="18412298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8AA28DF7-3485-E249-B0B6-23922B650A76}"/>
                </a:ext>
              </a:extLst>
            </xdr:cNvPr>
            <xdr:cNvSpPr txBox="1"/>
          </xdr:nvSpPr>
          <xdr:spPr>
            <a:xfrm>
              <a:off x="6267529" y="18412298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88</xdr:row>
      <xdr:rowOff>35929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000000-0008-0000-0600-000037000000}"/>
                </a:ext>
              </a:extLst>
            </xdr:cNvPr>
            <xdr:cNvSpPr txBox="1"/>
          </xdr:nvSpPr>
          <xdr:spPr>
            <a:xfrm>
              <a:off x="11530599" y="17964250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3BCB4CC2-1855-6444-B9E1-BCC2D1165EAA}"/>
                </a:ext>
              </a:extLst>
            </xdr:cNvPr>
            <xdr:cNvSpPr txBox="1"/>
          </xdr:nvSpPr>
          <xdr:spPr>
            <a:xfrm>
              <a:off x="11530599" y="17964250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50−5000)=37+(−3)=34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41723</xdr:colOff>
      <xdr:row>87</xdr:row>
      <xdr:rowOff>93944</xdr:rowOff>
    </xdr:from>
    <xdr:ext cx="3284489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0000000-0008-0000-0600-000038000000}"/>
                </a:ext>
              </a:extLst>
            </xdr:cNvPr>
            <xdr:cNvSpPr txBox="1"/>
          </xdr:nvSpPr>
          <xdr:spPr>
            <a:xfrm>
              <a:off x="5634854" y="18348590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32474FD9-4A21-A84D-B62B-4FDEC9E2B941}"/>
                </a:ext>
              </a:extLst>
            </xdr:cNvPr>
            <xdr:cNvSpPr txBox="1"/>
          </xdr:nvSpPr>
          <xdr:spPr>
            <a:xfrm>
              <a:off x="5634854" y="18348590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87</xdr:row>
      <xdr:rowOff>125098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600-000039000000}"/>
                </a:ext>
              </a:extLst>
            </xdr:cNvPr>
            <xdr:cNvSpPr txBox="1"/>
          </xdr:nvSpPr>
          <xdr:spPr>
            <a:xfrm>
              <a:off x="10900820" y="1837974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C519E3F4-4489-4341-BC38-B5EDC95CE329}"/>
                </a:ext>
              </a:extLst>
            </xdr:cNvPr>
            <xdr:cNvSpPr txBox="1"/>
          </xdr:nvSpPr>
          <xdr:spPr>
            <a:xfrm>
              <a:off x="10900820" y="18379744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𝑤^′+𝐶_𝑡𝑟=37+(−2)=35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1629</xdr:colOff>
      <xdr:row>117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00000000-0008-0000-0600-000040000000}"/>
                </a:ext>
              </a:extLst>
            </xdr:cNvPr>
            <xdr:cNvSpPr txBox="1"/>
          </xdr:nvSpPr>
          <xdr:spPr>
            <a:xfrm>
              <a:off x="825036" y="24618462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−2;−4;−1;−4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36542E0C-C97D-2048-A68C-F2615C026673}"/>
                </a:ext>
              </a:extLst>
            </xdr:cNvPr>
            <xdr:cNvSpPr txBox="1"/>
          </xdr:nvSpPr>
          <xdr:spPr>
            <a:xfrm>
              <a:off x="825036" y="24618462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)=41(−2;−4;−1;−4)𝑑𝐵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118</xdr:row>
      <xdr:rowOff>42591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00000000-0008-0000-0600-000041000000}"/>
                </a:ext>
              </a:extLst>
            </xdr:cNvPr>
            <xdr:cNvSpPr txBox="1"/>
          </xdr:nvSpPr>
          <xdr:spPr>
            <a:xfrm>
              <a:off x="6267529" y="2487039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E52A0E6-CD15-4E4F-AE3D-A37F5CB81025}"/>
                </a:ext>
              </a:extLst>
            </xdr:cNvPr>
            <xdr:cNvSpPr txBox="1"/>
          </xdr:nvSpPr>
          <xdr:spPr>
            <a:xfrm>
              <a:off x="6267529" y="24870393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𝑤^′+𝐶_(50−5000)=41+(−1)=40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118</xdr:row>
      <xdr:rowOff>32376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0000000-0008-0000-0600-000042000000}"/>
                </a:ext>
              </a:extLst>
            </xdr:cNvPr>
            <xdr:cNvSpPr txBox="1"/>
          </xdr:nvSpPr>
          <xdr:spPr>
            <a:xfrm>
              <a:off x="11548222" y="24860178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C651076-9193-024C-90C6-F8F474A4ABF6}"/>
                </a:ext>
              </a:extLst>
            </xdr:cNvPr>
            <xdr:cNvSpPr txBox="1"/>
          </xdr:nvSpPr>
          <xdr:spPr>
            <a:xfrm>
              <a:off x="11548222" y="24860178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117</xdr:row>
      <xdr:rowOff>13421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00000000-0008-0000-0600-000043000000}"/>
                </a:ext>
              </a:extLst>
            </xdr:cNvPr>
            <xdr:cNvSpPr txBox="1"/>
          </xdr:nvSpPr>
          <xdr:spPr>
            <a:xfrm>
              <a:off x="6280461" y="24631883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45FE27F3-9F74-7E49-A5FF-D07B4C6E76EE}"/>
                </a:ext>
              </a:extLst>
            </xdr:cNvPr>
            <xdr:cNvSpPr txBox="1"/>
          </xdr:nvSpPr>
          <xdr:spPr>
            <a:xfrm>
              <a:off x="6280461" y="24631883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𝑤^′+𝐶=41+(−2)=39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117</xdr:row>
      <xdr:rowOff>18918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00000000-0008-0000-0600-000044000000}"/>
                </a:ext>
              </a:extLst>
            </xdr:cNvPr>
            <xdr:cNvSpPr txBox="1"/>
          </xdr:nvSpPr>
          <xdr:spPr>
            <a:xfrm>
              <a:off x="11534763" y="2463738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1562530B-C9C0-B942-AD24-29B43A2DF62E}"/>
                </a:ext>
              </a:extLst>
            </xdr:cNvPr>
            <xdr:cNvSpPr txBox="1"/>
          </xdr:nvSpPr>
          <xdr:spPr>
            <a:xfrm>
              <a:off x="11534763" y="24637380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1629</xdr:colOff>
      <xdr:row>147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00000000-0008-0000-0600-00004D000000}"/>
                </a:ext>
              </a:extLst>
            </xdr:cNvPr>
            <xdr:cNvSpPr txBox="1"/>
          </xdr:nvSpPr>
          <xdr:spPr>
            <a:xfrm>
              <a:off x="825036" y="31108022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=61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1E4FD547-8284-894E-8DBE-3A76889010C0}"/>
                </a:ext>
              </a:extLst>
            </xdr:cNvPr>
            <xdr:cNvSpPr txBox="1"/>
          </xdr:nvSpPr>
          <xdr:spPr>
            <a:xfrm>
              <a:off x="825036" y="31108022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)=61(0;−6;0;−7)𝑑𝐵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148</xdr:row>
      <xdr:rowOff>42590</xdr:rowOff>
    </xdr:from>
    <xdr:ext cx="4319067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00000000-0008-0000-0600-00004E000000}"/>
                </a:ext>
              </a:extLst>
            </xdr:cNvPr>
            <xdr:cNvSpPr txBox="1"/>
          </xdr:nvSpPr>
          <xdr:spPr>
            <a:xfrm>
              <a:off x="6267529" y="31359953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0A6EFCC3-AA3C-A842-8BBC-40DF2F2748FF}"/>
                </a:ext>
              </a:extLst>
            </xdr:cNvPr>
            <xdr:cNvSpPr txBox="1"/>
          </xdr:nvSpPr>
          <xdr:spPr>
            <a:xfrm>
              <a:off x="6267529" y="31359953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148</xdr:row>
      <xdr:rowOff>32375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00000000-0008-0000-0600-00004F000000}"/>
                </a:ext>
              </a:extLst>
            </xdr:cNvPr>
            <xdr:cNvSpPr txBox="1"/>
          </xdr:nvSpPr>
          <xdr:spPr>
            <a:xfrm>
              <a:off x="11530599" y="3059580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5CF5D3F8-7F08-FD47-BCF6-A48EC0F2909B}"/>
                </a:ext>
              </a:extLst>
            </xdr:cNvPr>
            <xdr:cNvSpPr txBox="1"/>
          </xdr:nvSpPr>
          <xdr:spPr>
            <a:xfrm>
              <a:off x="11530599" y="3059580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50−5000)=61+(−7)=54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147</xdr:row>
      <xdr:rowOff>13421</xdr:rowOff>
    </xdr:from>
    <xdr:ext cx="3114186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00000000-0008-0000-0600-000050000000}"/>
                </a:ext>
              </a:extLst>
            </xdr:cNvPr>
            <xdr:cNvSpPr txBox="1"/>
          </xdr:nvSpPr>
          <xdr:spPr>
            <a:xfrm>
              <a:off x="6280461" y="31121443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82800EC7-94E0-AA44-B4E2-E59EC136ED70}"/>
                </a:ext>
              </a:extLst>
            </xdr:cNvPr>
            <xdr:cNvSpPr txBox="1"/>
          </xdr:nvSpPr>
          <xdr:spPr>
            <a:xfrm>
              <a:off x="6280461" y="31121443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147</xdr:row>
      <xdr:rowOff>18918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00000000-0008-0000-0600-000051000000}"/>
                </a:ext>
              </a:extLst>
            </xdr:cNvPr>
            <xdr:cNvSpPr txBox="1"/>
          </xdr:nvSpPr>
          <xdr:spPr>
            <a:xfrm>
              <a:off x="11517140" y="30378407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9C9DB832-E13B-DA44-ACF3-7B628DA404BE}"/>
                </a:ext>
              </a:extLst>
            </xdr:cNvPr>
            <xdr:cNvSpPr txBox="1"/>
          </xdr:nvSpPr>
          <xdr:spPr>
            <a:xfrm>
              <a:off x="11517140" y="30378407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𝑤^′+𝐶_𝑡𝑟=61+(−6)=55 𝑑𝐵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24</xdr:col>
      <xdr:colOff>431236</xdr:colOff>
      <xdr:row>149</xdr:row>
      <xdr:rowOff>100348</xdr:rowOff>
    </xdr:from>
    <xdr:to>
      <xdr:col>28</xdr:col>
      <xdr:colOff>27024</xdr:colOff>
      <xdr:row>153</xdr:row>
      <xdr:rowOff>96262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81741" y="31491156"/>
          <a:ext cx="2815687" cy="816924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00000000-0008-0000-0600-000053000000}"/>
                </a:ext>
              </a:extLst>
            </xdr:cNvPr>
            <xdr:cNvSpPr txBox="1"/>
          </xdr:nvSpPr>
          <xdr:spPr>
            <a:xfrm>
              <a:off x="12879144" y="495089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682A6697-B526-A543-88C4-75F7D02D50C8}"/>
                </a:ext>
              </a:extLst>
            </xdr:cNvPr>
            <xdr:cNvSpPr txBox="1"/>
          </xdr:nvSpPr>
          <xdr:spPr>
            <a:xfrm>
              <a:off x="12879144" y="495089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231752</xdr:colOff>
      <xdr:row>92</xdr:row>
      <xdr:rowOff>92700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8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 txBox="1"/>
          </xdr:nvSpPr>
          <xdr:spPr>
            <a:xfrm>
              <a:off x="1881825" y="18836788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0" name="CuadroTexto 8">
              <a:extLst>
                <a:ext uri="{FF2B5EF4-FFF2-40B4-BE49-F238E27FC236}">
                  <a16:creationId xmlns:a16="http://schemas.microsoft.com/office/drawing/2014/main" id="{A4297830-D2B0-054C-AD45-B64777155C4E}"/>
                </a:ext>
              </a:extLst>
            </xdr:cNvPr>
            <xdr:cNvSpPr txBox="1"/>
          </xdr:nvSpPr>
          <xdr:spPr>
            <a:xfrm>
              <a:off x="1881825" y="18836788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209855</xdr:colOff>
      <xdr:row>92</xdr:row>
      <xdr:rowOff>94451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9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 txBox="1"/>
          </xdr:nvSpPr>
          <xdr:spPr>
            <a:xfrm>
              <a:off x="2684964" y="18838539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1" name="CuadroTexto 9">
              <a:extLst>
                <a:ext uri="{FF2B5EF4-FFF2-40B4-BE49-F238E27FC236}">
                  <a16:creationId xmlns:a16="http://schemas.microsoft.com/office/drawing/2014/main" id="{C37E4261-543A-064B-9FAB-5F4B54FF86CE}"/>
                </a:ext>
              </a:extLst>
            </xdr:cNvPr>
            <xdr:cNvSpPr txBox="1"/>
          </xdr:nvSpPr>
          <xdr:spPr>
            <a:xfrm>
              <a:off x="2684964" y="18838539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305912</xdr:colOff>
      <xdr:row>63</xdr:row>
      <xdr:rowOff>92701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8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 txBox="1"/>
          </xdr:nvSpPr>
          <xdr:spPr>
            <a:xfrm>
              <a:off x="1955985" y="1269073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2" name="CuadroTexto 8">
              <a:extLst>
                <a:ext uri="{FF2B5EF4-FFF2-40B4-BE49-F238E27FC236}">
                  <a16:creationId xmlns:a16="http://schemas.microsoft.com/office/drawing/2014/main" id="{C212C5CB-D4A8-0643-9B3F-FF125EB4C6CA}"/>
                </a:ext>
              </a:extLst>
            </xdr:cNvPr>
            <xdr:cNvSpPr txBox="1"/>
          </xdr:nvSpPr>
          <xdr:spPr>
            <a:xfrm>
              <a:off x="1955985" y="1269073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284015</xdr:colOff>
      <xdr:row>63</xdr:row>
      <xdr:rowOff>94452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9">
              <a:extLst>
                <a:ext uri="{FF2B5EF4-FFF2-40B4-BE49-F238E27FC236}">
                  <a16:creationId xmlns:a16="http://schemas.microsoft.com/office/drawing/2014/main" id="{00000000-0008-0000-0600-00005D000000}"/>
                </a:ext>
              </a:extLst>
            </xdr:cNvPr>
            <xdr:cNvSpPr txBox="1"/>
          </xdr:nvSpPr>
          <xdr:spPr>
            <a:xfrm>
              <a:off x="2759124" y="1269248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3" name="CuadroTexto 9">
              <a:extLst>
                <a:ext uri="{FF2B5EF4-FFF2-40B4-BE49-F238E27FC236}">
                  <a16:creationId xmlns:a16="http://schemas.microsoft.com/office/drawing/2014/main" id="{3250009B-3929-4443-A619-F34265E98F38}"/>
                </a:ext>
              </a:extLst>
            </xdr:cNvPr>
            <xdr:cNvSpPr txBox="1"/>
          </xdr:nvSpPr>
          <xdr:spPr>
            <a:xfrm>
              <a:off x="2759124" y="1269248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278102</xdr:colOff>
      <xdr:row>33</xdr:row>
      <xdr:rowOff>74161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8">
              <a:extLst>
                <a:ext uri="{FF2B5EF4-FFF2-40B4-BE49-F238E27FC236}">
                  <a16:creationId xmlns:a16="http://schemas.microsoft.com/office/drawing/2014/main" id="{00000000-0008-0000-0600-00005E000000}"/>
                </a:ext>
              </a:extLst>
            </xdr:cNvPr>
            <xdr:cNvSpPr txBox="1"/>
          </xdr:nvSpPr>
          <xdr:spPr>
            <a:xfrm>
              <a:off x="1928175" y="6572482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4" name="CuadroTexto 8">
              <a:extLst>
                <a:ext uri="{FF2B5EF4-FFF2-40B4-BE49-F238E27FC236}">
                  <a16:creationId xmlns:a16="http://schemas.microsoft.com/office/drawing/2014/main" id="{DBF4BC02-47B5-3846-BC40-FE6A6C265195}"/>
                </a:ext>
              </a:extLst>
            </xdr:cNvPr>
            <xdr:cNvSpPr txBox="1"/>
          </xdr:nvSpPr>
          <xdr:spPr>
            <a:xfrm>
              <a:off x="1928175" y="6572482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256205</xdr:colOff>
      <xdr:row>33</xdr:row>
      <xdr:rowOff>75912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9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SpPr txBox="1"/>
          </xdr:nvSpPr>
          <xdr:spPr>
            <a:xfrm>
              <a:off x="2731314" y="657423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5" name="CuadroTexto 9">
              <a:extLst>
                <a:ext uri="{FF2B5EF4-FFF2-40B4-BE49-F238E27FC236}">
                  <a16:creationId xmlns:a16="http://schemas.microsoft.com/office/drawing/2014/main" id="{A75647F1-3C44-E54C-984B-CECD662E914F}"/>
                </a:ext>
              </a:extLst>
            </xdr:cNvPr>
            <xdr:cNvSpPr txBox="1"/>
          </xdr:nvSpPr>
          <xdr:spPr>
            <a:xfrm>
              <a:off x="2731314" y="657423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79375</xdr:colOff>
      <xdr:row>3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5">
              <a:extLst>
                <a:ext uri="{FF2B5EF4-FFF2-40B4-BE49-F238E27FC236}">
                  <a16:creationId xmlns:a16="http://schemas.microsoft.com/office/drawing/2014/main" id="{00000000-0008-0000-0600-000060000000}"/>
                </a:ext>
              </a:extLst>
            </xdr:cNvPr>
            <xdr:cNvSpPr txBox="1"/>
          </xdr:nvSpPr>
          <xdr:spPr>
            <a:xfrm>
              <a:off x="904875" y="51593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6" name="CuadroTexto 5">
              <a:extLst>
                <a:ext uri="{FF2B5EF4-FFF2-40B4-BE49-F238E27FC236}">
                  <a16:creationId xmlns:a16="http://schemas.microsoft.com/office/drawing/2014/main" id="{2638DC9B-61EA-1947-B01F-4058B850C0C3}"/>
                </a:ext>
              </a:extLst>
            </xdr:cNvPr>
            <xdr:cNvSpPr txBox="1"/>
          </xdr:nvSpPr>
          <xdr:spPr>
            <a:xfrm>
              <a:off x="904875" y="51593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60960</xdr:colOff>
      <xdr:row>33</xdr:row>
      <xdr:rowOff>121920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00000000-0008-0000-0600-000061000000}"/>
                </a:ext>
              </a:extLst>
            </xdr:cNvPr>
            <xdr:cNvSpPr txBox="1"/>
          </xdr:nvSpPr>
          <xdr:spPr>
            <a:xfrm>
              <a:off x="883920" y="660400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5BD3AE7E-7C24-EF42-90DA-1C658337868E}"/>
                </a:ext>
              </a:extLst>
            </xdr:cNvPr>
            <xdr:cNvSpPr txBox="1"/>
          </xdr:nvSpPr>
          <xdr:spPr>
            <a:xfrm>
              <a:off x="883920" y="660400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91440</xdr:colOff>
      <xdr:row>63</xdr:row>
      <xdr:rowOff>91440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5">
              <a:extLst>
                <a:ext uri="{FF2B5EF4-FFF2-40B4-BE49-F238E27FC236}">
                  <a16:creationId xmlns:a16="http://schemas.microsoft.com/office/drawing/2014/main" id="{00000000-0008-0000-0600-000062000000}"/>
                </a:ext>
              </a:extLst>
            </xdr:cNvPr>
            <xdr:cNvSpPr txBox="1"/>
          </xdr:nvSpPr>
          <xdr:spPr>
            <a:xfrm>
              <a:off x="914400" y="1265936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8" name="CuadroTexto 5">
              <a:extLst>
                <a:ext uri="{FF2B5EF4-FFF2-40B4-BE49-F238E27FC236}">
                  <a16:creationId xmlns:a16="http://schemas.microsoft.com/office/drawing/2014/main" id="{91838CFB-2779-724D-8B27-44D1F5A7FF4C}"/>
                </a:ext>
              </a:extLst>
            </xdr:cNvPr>
            <xdr:cNvSpPr txBox="1"/>
          </xdr:nvSpPr>
          <xdr:spPr>
            <a:xfrm>
              <a:off x="914400" y="1265936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50800</xdr:colOff>
      <xdr:row>92</xdr:row>
      <xdr:rowOff>81280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00000000-0008-0000-0600-000063000000}"/>
                </a:ext>
              </a:extLst>
            </xdr:cNvPr>
            <xdr:cNvSpPr txBox="1"/>
          </xdr:nvSpPr>
          <xdr:spPr>
            <a:xfrm>
              <a:off x="873760" y="1877568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5885138C-302F-884F-8E20-0B4EB5280155}"/>
                </a:ext>
              </a:extLst>
            </xdr:cNvPr>
            <xdr:cNvSpPr txBox="1"/>
          </xdr:nvSpPr>
          <xdr:spPr>
            <a:xfrm>
              <a:off x="873760" y="1877568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91440</xdr:colOff>
      <xdr:row>122</xdr:row>
      <xdr:rowOff>111760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00000000-0008-0000-0600-000064000000}"/>
                </a:ext>
              </a:extLst>
            </xdr:cNvPr>
            <xdr:cNvSpPr txBox="1"/>
          </xdr:nvSpPr>
          <xdr:spPr>
            <a:xfrm>
              <a:off x="914400" y="2509520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F08CFC53-FEAA-BC41-89DE-269FE7C5CF54}"/>
                </a:ext>
              </a:extLst>
            </xdr:cNvPr>
            <xdr:cNvSpPr txBox="1"/>
          </xdr:nvSpPr>
          <xdr:spPr>
            <a:xfrm>
              <a:off x="914400" y="2509520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76638</xdr:colOff>
      <xdr:row>33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uadroTexto 5">
              <a:extLst>
                <a:ext uri="{FF2B5EF4-FFF2-40B4-BE49-F238E27FC236}">
                  <a16:creationId xmlns:a16="http://schemas.microsoft.com/office/drawing/2014/main" id="{00000000-0008-0000-0600-000065000000}"/>
                </a:ext>
              </a:extLst>
            </xdr:cNvPr>
            <xdr:cNvSpPr txBox="1"/>
          </xdr:nvSpPr>
          <xdr:spPr>
            <a:xfrm>
              <a:off x="9068238" y="4830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1" name="CuadroTexto 5">
              <a:extLst>
                <a:ext uri="{FF2B5EF4-FFF2-40B4-BE49-F238E27FC236}">
                  <a16:creationId xmlns:a16="http://schemas.microsoft.com/office/drawing/2014/main" id="{EFC1A58E-EED7-314E-9D78-F1EB768CC809}"/>
                </a:ext>
              </a:extLst>
            </xdr:cNvPr>
            <xdr:cNvSpPr txBox="1"/>
          </xdr:nvSpPr>
          <xdr:spPr>
            <a:xfrm>
              <a:off x="9068238" y="4830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33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00000000-0008-0000-0600-000066000000}"/>
                </a:ext>
              </a:extLst>
            </xdr:cNvPr>
            <xdr:cNvSpPr txBox="1"/>
          </xdr:nvSpPr>
          <xdr:spPr>
            <a:xfrm>
              <a:off x="9510549" y="4611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DD7DA590-E79E-3E4F-AB10-6CCB1764CA4C}"/>
                </a:ext>
              </a:extLst>
            </xdr:cNvPr>
            <xdr:cNvSpPr txBox="1"/>
          </xdr:nvSpPr>
          <xdr:spPr>
            <a:xfrm>
              <a:off x="9510549" y="4611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33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00000000-0008-0000-0600-000067000000}"/>
                </a:ext>
              </a:extLst>
            </xdr:cNvPr>
            <xdr:cNvSpPr txBox="1"/>
          </xdr:nvSpPr>
          <xdr:spPr>
            <a:xfrm>
              <a:off x="135386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8C681DC2-FB95-6146-9D65-708F2DEA6A3B}"/>
                </a:ext>
              </a:extLst>
            </xdr:cNvPr>
            <xdr:cNvSpPr txBox="1"/>
          </xdr:nvSpPr>
          <xdr:spPr>
            <a:xfrm>
              <a:off x="135386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33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00000000-0008-0000-0600-000068000000}"/>
                </a:ext>
              </a:extLst>
            </xdr:cNvPr>
            <xdr:cNvSpPr txBox="1"/>
          </xdr:nvSpPr>
          <xdr:spPr>
            <a:xfrm>
              <a:off x="139583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900A0BEF-9F89-E349-BD22-76B0B40E8216}"/>
                </a:ext>
              </a:extLst>
            </xdr:cNvPr>
            <xdr:cNvSpPr txBox="1"/>
          </xdr:nvSpPr>
          <xdr:spPr>
            <a:xfrm>
              <a:off x="139583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33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00000000-0008-0000-0600-000069000000}"/>
                </a:ext>
              </a:extLst>
            </xdr:cNvPr>
            <xdr:cNvSpPr txBox="1"/>
          </xdr:nvSpPr>
          <xdr:spPr>
            <a:xfrm>
              <a:off x="11254823" y="4939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D48FEC8B-D270-F842-B7DD-3AE9C40ED560}"/>
                </a:ext>
              </a:extLst>
            </xdr:cNvPr>
            <xdr:cNvSpPr txBox="1"/>
          </xdr:nvSpPr>
          <xdr:spPr>
            <a:xfrm>
              <a:off x="11254823" y="4939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00000000-0008-0000-0600-00006A000000}"/>
                </a:ext>
              </a:extLst>
            </xdr:cNvPr>
            <xdr:cNvSpPr txBox="1"/>
          </xdr:nvSpPr>
          <xdr:spPr>
            <a:xfrm>
              <a:off x="161290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20BCC534-6534-864B-8AF3-8B4ABC46E058}"/>
                </a:ext>
              </a:extLst>
            </xdr:cNvPr>
            <xdr:cNvSpPr txBox="1"/>
          </xdr:nvSpPr>
          <xdr:spPr>
            <a:xfrm>
              <a:off x="161290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33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00000000-0008-0000-0600-00006B000000}"/>
                </a:ext>
              </a:extLst>
            </xdr:cNvPr>
            <xdr:cNvSpPr txBox="1"/>
          </xdr:nvSpPr>
          <xdr:spPr>
            <a:xfrm>
              <a:off x="156864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890DDD0C-BF49-4D4F-9EA0-79989A4FB3CA}"/>
                </a:ext>
              </a:extLst>
            </xdr:cNvPr>
            <xdr:cNvSpPr txBox="1"/>
          </xdr:nvSpPr>
          <xdr:spPr>
            <a:xfrm>
              <a:off x="156864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00000000-0008-0000-0600-00006C000000}"/>
                </a:ext>
              </a:extLst>
            </xdr:cNvPr>
            <xdr:cNvSpPr txBox="1"/>
          </xdr:nvSpPr>
          <xdr:spPr>
            <a:xfrm>
              <a:off x="11684000" y="4920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AC566B1C-AD5B-784F-A461-9F6EE095577B}"/>
                </a:ext>
              </a:extLst>
            </xdr:cNvPr>
            <xdr:cNvSpPr txBox="1"/>
          </xdr:nvSpPr>
          <xdr:spPr>
            <a:xfrm>
              <a:off x="11684000" y="4920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63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00000000-0008-0000-0600-00006D000000}"/>
                </a:ext>
              </a:extLst>
            </xdr:cNvPr>
            <xdr:cNvSpPr txBox="1"/>
          </xdr:nvSpPr>
          <xdr:spPr>
            <a:xfrm>
              <a:off x="9068238" y="67568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B1CA6A77-35A7-694B-B204-57ACAD33DBF4}"/>
                </a:ext>
              </a:extLst>
            </xdr:cNvPr>
            <xdr:cNvSpPr txBox="1"/>
          </xdr:nvSpPr>
          <xdr:spPr>
            <a:xfrm>
              <a:off x="9068238" y="67568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63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 txBox="1"/>
          </xdr:nvSpPr>
          <xdr:spPr>
            <a:xfrm>
              <a:off x="9510549" y="67349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4ED33AA5-0D6A-8446-A654-6529ED2AB9A0}"/>
                </a:ext>
              </a:extLst>
            </xdr:cNvPr>
            <xdr:cNvSpPr txBox="1"/>
          </xdr:nvSpPr>
          <xdr:spPr>
            <a:xfrm>
              <a:off x="9510549" y="67349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63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00000000-0008-0000-0600-00006F000000}"/>
                </a:ext>
              </a:extLst>
            </xdr:cNvPr>
            <xdr:cNvSpPr txBox="1"/>
          </xdr:nvSpPr>
          <xdr:spPr>
            <a:xfrm>
              <a:off x="13538638" y="67600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91AE878E-D068-7D4D-AD15-096B6C6F15A1}"/>
                </a:ext>
              </a:extLst>
            </xdr:cNvPr>
            <xdr:cNvSpPr txBox="1"/>
          </xdr:nvSpPr>
          <xdr:spPr>
            <a:xfrm>
              <a:off x="13538638" y="67600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63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00000000-0008-0000-0600-000070000000}"/>
                </a:ext>
              </a:extLst>
            </xdr:cNvPr>
            <xdr:cNvSpPr txBox="1"/>
          </xdr:nvSpPr>
          <xdr:spPr>
            <a:xfrm>
              <a:off x="13958396" y="67412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17F2C393-0D9C-2046-88AA-7B39FDF8F01C}"/>
                </a:ext>
              </a:extLst>
            </xdr:cNvPr>
            <xdr:cNvSpPr txBox="1"/>
          </xdr:nvSpPr>
          <xdr:spPr>
            <a:xfrm>
              <a:off x="13958396" y="67412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63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00000000-0008-0000-0600-000071000000}"/>
                </a:ext>
              </a:extLst>
            </xdr:cNvPr>
            <xdr:cNvSpPr txBox="1"/>
          </xdr:nvSpPr>
          <xdr:spPr>
            <a:xfrm>
              <a:off x="11254823" y="67677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83FCDB57-DF8C-EE40-8DB8-C818DFDF50C1}"/>
                </a:ext>
              </a:extLst>
            </xdr:cNvPr>
            <xdr:cNvSpPr txBox="1"/>
          </xdr:nvSpPr>
          <xdr:spPr>
            <a:xfrm>
              <a:off x="11254823" y="67677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63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00000000-0008-0000-0600-000072000000}"/>
                </a:ext>
              </a:extLst>
            </xdr:cNvPr>
            <xdr:cNvSpPr txBox="1"/>
          </xdr:nvSpPr>
          <xdr:spPr>
            <a:xfrm>
              <a:off x="16129000" y="67374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FE538435-C6D2-0248-8A67-A9A818E9741B}"/>
                </a:ext>
              </a:extLst>
            </xdr:cNvPr>
            <xdr:cNvSpPr txBox="1"/>
          </xdr:nvSpPr>
          <xdr:spPr>
            <a:xfrm>
              <a:off x="16129000" y="67374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63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00000000-0008-0000-0600-000073000000}"/>
                </a:ext>
              </a:extLst>
            </xdr:cNvPr>
            <xdr:cNvSpPr txBox="1"/>
          </xdr:nvSpPr>
          <xdr:spPr>
            <a:xfrm>
              <a:off x="15686431" y="67597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184392AA-473B-8E44-8879-7B13A7D08490}"/>
                </a:ext>
              </a:extLst>
            </xdr:cNvPr>
            <xdr:cNvSpPr txBox="1"/>
          </xdr:nvSpPr>
          <xdr:spPr>
            <a:xfrm>
              <a:off x="15686431" y="67597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63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00000000-0008-0000-0600-000074000000}"/>
                </a:ext>
              </a:extLst>
            </xdr:cNvPr>
            <xdr:cNvSpPr txBox="1"/>
          </xdr:nvSpPr>
          <xdr:spPr>
            <a:xfrm>
              <a:off x="11684000" y="67658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2AD7DA66-E905-7C42-9B0F-D91674BCFDE5}"/>
                </a:ext>
              </a:extLst>
            </xdr:cNvPr>
            <xdr:cNvSpPr txBox="1"/>
          </xdr:nvSpPr>
          <xdr:spPr>
            <a:xfrm>
              <a:off x="11684000" y="67658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92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00000000-0008-0000-0600-000075000000}"/>
                </a:ext>
              </a:extLst>
            </xdr:cNvPr>
            <xdr:cNvSpPr txBox="1"/>
          </xdr:nvSpPr>
          <xdr:spPr>
            <a:xfrm>
              <a:off x="9068238" y="130433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39560FCF-7CB7-D64C-AA75-CE6488CB06FD}"/>
                </a:ext>
              </a:extLst>
            </xdr:cNvPr>
            <xdr:cNvSpPr txBox="1"/>
          </xdr:nvSpPr>
          <xdr:spPr>
            <a:xfrm>
              <a:off x="9068238" y="130433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92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00000000-0008-0000-0600-000076000000}"/>
                </a:ext>
              </a:extLst>
            </xdr:cNvPr>
            <xdr:cNvSpPr txBox="1"/>
          </xdr:nvSpPr>
          <xdr:spPr>
            <a:xfrm>
              <a:off x="9510549" y="130214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3867D422-64BC-0646-9341-8618093977AA}"/>
                </a:ext>
              </a:extLst>
            </xdr:cNvPr>
            <xdr:cNvSpPr txBox="1"/>
          </xdr:nvSpPr>
          <xdr:spPr>
            <a:xfrm>
              <a:off x="9510549" y="130214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92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5">
              <a:extLst>
                <a:ext uri="{FF2B5EF4-FFF2-40B4-BE49-F238E27FC236}">
                  <a16:creationId xmlns:a16="http://schemas.microsoft.com/office/drawing/2014/main" id="{00000000-0008-0000-0600-000077000000}"/>
                </a:ext>
              </a:extLst>
            </xdr:cNvPr>
            <xdr:cNvSpPr txBox="1"/>
          </xdr:nvSpPr>
          <xdr:spPr>
            <a:xfrm>
              <a:off x="13538638" y="130465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9" name="CuadroTexto 5">
              <a:extLst>
                <a:ext uri="{FF2B5EF4-FFF2-40B4-BE49-F238E27FC236}">
                  <a16:creationId xmlns:a16="http://schemas.microsoft.com/office/drawing/2014/main" id="{79C0F83E-FB83-B44E-BD05-72F54CDA77AB}"/>
                </a:ext>
              </a:extLst>
            </xdr:cNvPr>
            <xdr:cNvSpPr txBox="1"/>
          </xdr:nvSpPr>
          <xdr:spPr>
            <a:xfrm>
              <a:off x="13538638" y="130465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92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5">
              <a:extLst>
                <a:ext uri="{FF2B5EF4-FFF2-40B4-BE49-F238E27FC236}">
                  <a16:creationId xmlns:a16="http://schemas.microsoft.com/office/drawing/2014/main" id="{00000000-0008-0000-0600-000078000000}"/>
                </a:ext>
              </a:extLst>
            </xdr:cNvPr>
            <xdr:cNvSpPr txBox="1"/>
          </xdr:nvSpPr>
          <xdr:spPr>
            <a:xfrm>
              <a:off x="13958396" y="130277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0" name="CuadroTexto 5">
              <a:extLst>
                <a:ext uri="{FF2B5EF4-FFF2-40B4-BE49-F238E27FC236}">
                  <a16:creationId xmlns:a16="http://schemas.microsoft.com/office/drawing/2014/main" id="{CB6FCC8E-1296-3C4F-BB4A-E9E6924D2209}"/>
                </a:ext>
              </a:extLst>
            </xdr:cNvPr>
            <xdr:cNvSpPr txBox="1"/>
          </xdr:nvSpPr>
          <xdr:spPr>
            <a:xfrm>
              <a:off x="13958396" y="130277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92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00000000-0008-0000-0600-000079000000}"/>
                </a:ext>
              </a:extLst>
            </xdr:cNvPr>
            <xdr:cNvSpPr txBox="1"/>
          </xdr:nvSpPr>
          <xdr:spPr>
            <a:xfrm>
              <a:off x="11254823" y="130542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2844D56D-C7F5-A94B-8717-CF5B66BE4B21}"/>
                </a:ext>
              </a:extLst>
            </xdr:cNvPr>
            <xdr:cNvSpPr txBox="1"/>
          </xdr:nvSpPr>
          <xdr:spPr>
            <a:xfrm>
              <a:off x="11254823" y="130542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92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5">
              <a:extLst>
                <a:ext uri="{FF2B5EF4-FFF2-40B4-BE49-F238E27FC236}">
                  <a16:creationId xmlns:a16="http://schemas.microsoft.com/office/drawing/2014/main" id="{00000000-0008-0000-0600-00007A000000}"/>
                </a:ext>
              </a:extLst>
            </xdr:cNvPr>
            <xdr:cNvSpPr txBox="1"/>
          </xdr:nvSpPr>
          <xdr:spPr>
            <a:xfrm>
              <a:off x="16129000" y="130239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2" name="CuadroTexto 5">
              <a:extLst>
                <a:ext uri="{FF2B5EF4-FFF2-40B4-BE49-F238E27FC236}">
                  <a16:creationId xmlns:a16="http://schemas.microsoft.com/office/drawing/2014/main" id="{D52E633E-6CFA-7E4D-995C-F293AD63F6BA}"/>
                </a:ext>
              </a:extLst>
            </xdr:cNvPr>
            <xdr:cNvSpPr txBox="1"/>
          </xdr:nvSpPr>
          <xdr:spPr>
            <a:xfrm>
              <a:off x="16129000" y="130239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92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5">
              <a:extLst>
                <a:ext uri="{FF2B5EF4-FFF2-40B4-BE49-F238E27FC236}">
                  <a16:creationId xmlns:a16="http://schemas.microsoft.com/office/drawing/2014/main" id="{00000000-0008-0000-0600-00007B000000}"/>
                </a:ext>
              </a:extLst>
            </xdr:cNvPr>
            <xdr:cNvSpPr txBox="1"/>
          </xdr:nvSpPr>
          <xdr:spPr>
            <a:xfrm>
              <a:off x="15686431" y="130462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3" name="CuadroTexto 5">
              <a:extLst>
                <a:ext uri="{FF2B5EF4-FFF2-40B4-BE49-F238E27FC236}">
                  <a16:creationId xmlns:a16="http://schemas.microsoft.com/office/drawing/2014/main" id="{ECA14B5B-1C48-1245-94B0-92AA1F46A8FF}"/>
                </a:ext>
              </a:extLst>
            </xdr:cNvPr>
            <xdr:cNvSpPr txBox="1"/>
          </xdr:nvSpPr>
          <xdr:spPr>
            <a:xfrm>
              <a:off x="15686431" y="130462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92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5">
              <a:extLst>
                <a:ext uri="{FF2B5EF4-FFF2-40B4-BE49-F238E27FC236}">
                  <a16:creationId xmlns:a16="http://schemas.microsoft.com/office/drawing/2014/main" id="{00000000-0008-0000-0600-00007C000000}"/>
                </a:ext>
              </a:extLst>
            </xdr:cNvPr>
            <xdr:cNvSpPr txBox="1"/>
          </xdr:nvSpPr>
          <xdr:spPr>
            <a:xfrm>
              <a:off x="11684000" y="130523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4" name="CuadroTexto 5">
              <a:extLst>
                <a:ext uri="{FF2B5EF4-FFF2-40B4-BE49-F238E27FC236}">
                  <a16:creationId xmlns:a16="http://schemas.microsoft.com/office/drawing/2014/main" id="{246C126F-B9E6-7547-81EA-63E930F0062B}"/>
                </a:ext>
              </a:extLst>
            </xdr:cNvPr>
            <xdr:cNvSpPr txBox="1"/>
          </xdr:nvSpPr>
          <xdr:spPr>
            <a:xfrm>
              <a:off x="11684000" y="130523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122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5">
              <a:extLst>
                <a:ext uri="{FF2B5EF4-FFF2-40B4-BE49-F238E27FC236}">
                  <a16:creationId xmlns:a16="http://schemas.microsoft.com/office/drawing/2014/main" id="{00000000-0008-0000-0600-00007D000000}"/>
                </a:ext>
              </a:extLst>
            </xdr:cNvPr>
            <xdr:cNvSpPr txBox="1"/>
          </xdr:nvSpPr>
          <xdr:spPr>
            <a:xfrm>
              <a:off x="9068238" y="191647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5" name="CuadroTexto 5">
              <a:extLst>
                <a:ext uri="{FF2B5EF4-FFF2-40B4-BE49-F238E27FC236}">
                  <a16:creationId xmlns:a16="http://schemas.microsoft.com/office/drawing/2014/main" id="{B8A86BCF-B590-7949-8698-635949D5C041}"/>
                </a:ext>
              </a:extLst>
            </xdr:cNvPr>
            <xdr:cNvSpPr txBox="1"/>
          </xdr:nvSpPr>
          <xdr:spPr>
            <a:xfrm>
              <a:off x="9068238" y="191647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122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5">
              <a:extLst>
                <a:ext uri="{FF2B5EF4-FFF2-40B4-BE49-F238E27FC236}">
                  <a16:creationId xmlns:a16="http://schemas.microsoft.com/office/drawing/2014/main" id="{00000000-0008-0000-0600-00007E000000}"/>
                </a:ext>
              </a:extLst>
            </xdr:cNvPr>
            <xdr:cNvSpPr txBox="1"/>
          </xdr:nvSpPr>
          <xdr:spPr>
            <a:xfrm>
              <a:off x="9510549" y="191428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6" name="CuadroTexto 5">
              <a:extLst>
                <a:ext uri="{FF2B5EF4-FFF2-40B4-BE49-F238E27FC236}">
                  <a16:creationId xmlns:a16="http://schemas.microsoft.com/office/drawing/2014/main" id="{587420D2-0826-C940-8059-E19986D47C20}"/>
                </a:ext>
              </a:extLst>
            </xdr:cNvPr>
            <xdr:cNvSpPr txBox="1"/>
          </xdr:nvSpPr>
          <xdr:spPr>
            <a:xfrm>
              <a:off x="9510549" y="191428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122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CuadroTexto 5">
              <a:extLst>
                <a:ext uri="{FF2B5EF4-FFF2-40B4-BE49-F238E27FC236}">
                  <a16:creationId xmlns:a16="http://schemas.microsoft.com/office/drawing/2014/main" id="{00000000-0008-0000-0600-00007F000000}"/>
                </a:ext>
              </a:extLst>
            </xdr:cNvPr>
            <xdr:cNvSpPr txBox="1"/>
          </xdr:nvSpPr>
          <xdr:spPr>
            <a:xfrm>
              <a:off x="13538638" y="191679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7" name="CuadroTexto 5">
              <a:extLst>
                <a:ext uri="{FF2B5EF4-FFF2-40B4-BE49-F238E27FC236}">
                  <a16:creationId xmlns:a16="http://schemas.microsoft.com/office/drawing/2014/main" id="{3C004E06-5269-2E4F-B62C-044EDD0AE007}"/>
                </a:ext>
              </a:extLst>
            </xdr:cNvPr>
            <xdr:cNvSpPr txBox="1"/>
          </xdr:nvSpPr>
          <xdr:spPr>
            <a:xfrm>
              <a:off x="13538638" y="191679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122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CuadroTexto 5">
              <a:extLst>
                <a:ext uri="{FF2B5EF4-FFF2-40B4-BE49-F238E27FC236}">
                  <a16:creationId xmlns:a16="http://schemas.microsoft.com/office/drawing/2014/main" id="{00000000-0008-0000-0600-000080000000}"/>
                </a:ext>
              </a:extLst>
            </xdr:cNvPr>
            <xdr:cNvSpPr txBox="1"/>
          </xdr:nvSpPr>
          <xdr:spPr>
            <a:xfrm>
              <a:off x="13958396" y="191491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8" name="CuadroTexto 5">
              <a:extLst>
                <a:ext uri="{FF2B5EF4-FFF2-40B4-BE49-F238E27FC236}">
                  <a16:creationId xmlns:a16="http://schemas.microsoft.com/office/drawing/2014/main" id="{886538AD-9C5E-F244-B8EB-978978E2ABCF}"/>
                </a:ext>
              </a:extLst>
            </xdr:cNvPr>
            <xdr:cNvSpPr txBox="1"/>
          </xdr:nvSpPr>
          <xdr:spPr>
            <a:xfrm>
              <a:off x="13958396" y="191491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122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CuadroTexto 5">
              <a:extLst>
                <a:ext uri="{FF2B5EF4-FFF2-40B4-BE49-F238E27FC236}">
                  <a16:creationId xmlns:a16="http://schemas.microsoft.com/office/drawing/2014/main" id="{00000000-0008-0000-0600-000081000000}"/>
                </a:ext>
              </a:extLst>
            </xdr:cNvPr>
            <xdr:cNvSpPr txBox="1"/>
          </xdr:nvSpPr>
          <xdr:spPr>
            <a:xfrm>
              <a:off x="11254823" y="191756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9" name="CuadroTexto 5">
              <a:extLst>
                <a:ext uri="{FF2B5EF4-FFF2-40B4-BE49-F238E27FC236}">
                  <a16:creationId xmlns:a16="http://schemas.microsoft.com/office/drawing/2014/main" id="{A2DF6C33-F9BB-8545-9BDB-5EBE7F53505A}"/>
                </a:ext>
              </a:extLst>
            </xdr:cNvPr>
            <xdr:cNvSpPr txBox="1"/>
          </xdr:nvSpPr>
          <xdr:spPr>
            <a:xfrm>
              <a:off x="11254823" y="191756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122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5">
              <a:extLst>
                <a:ext uri="{FF2B5EF4-FFF2-40B4-BE49-F238E27FC236}">
                  <a16:creationId xmlns:a16="http://schemas.microsoft.com/office/drawing/2014/main" id="{00000000-0008-0000-0600-000082000000}"/>
                </a:ext>
              </a:extLst>
            </xdr:cNvPr>
            <xdr:cNvSpPr txBox="1"/>
          </xdr:nvSpPr>
          <xdr:spPr>
            <a:xfrm>
              <a:off x="16129000" y="191453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0" name="CuadroTexto 5">
              <a:extLst>
                <a:ext uri="{FF2B5EF4-FFF2-40B4-BE49-F238E27FC236}">
                  <a16:creationId xmlns:a16="http://schemas.microsoft.com/office/drawing/2014/main" id="{69AA1051-88DE-3F45-BB48-D30FD49F6B84}"/>
                </a:ext>
              </a:extLst>
            </xdr:cNvPr>
            <xdr:cNvSpPr txBox="1"/>
          </xdr:nvSpPr>
          <xdr:spPr>
            <a:xfrm>
              <a:off x="16129000" y="191453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122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CuadroTexto 5">
              <a:extLst>
                <a:ext uri="{FF2B5EF4-FFF2-40B4-BE49-F238E27FC236}">
                  <a16:creationId xmlns:a16="http://schemas.microsoft.com/office/drawing/2014/main" id="{00000000-0008-0000-0600-000083000000}"/>
                </a:ext>
              </a:extLst>
            </xdr:cNvPr>
            <xdr:cNvSpPr txBox="1"/>
          </xdr:nvSpPr>
          <xdr:spPr>
            <a:xfrm>
              <a:off x="15686431" y="191676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1" name="CuadroTexto 5">
              <a:extLst>
                <a:ext uri="{FF2B5EF4-FFF2-40B4-BE49-F238E27FC236}">
                  <a16:creationId xmlns:a16="http://schemas.microsoft.com/office/drawing/2014/main" id="{1AC49782-D918-584D-9B33-AF0B1413DD2B}"/>
                </a:ext>
              </a:extLst>
            </xdr:cNvPr>
            <xdr:cNvSpPr txBox="1"/>
          </xdr:nvSpPr>
          <xdr:spPr>
            <a:xfrm>
              <a:off x="15686431" y="191676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122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CuadroTexto 5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SpPr txBox="1"/>
          </xdr:nvSpPr>
          <xdr:spPr>
            <a:xfrm>
              <a:off x="11684000" y="191737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2" name="CuadroTexto 5">
              <a:extLst>
                <a:ext uri="{FF2B5EF4-FFF2-40B4-BE49-F238E27FC236}">
                  <a16:creationId xmlns:a16="http://schemas.microsoft.com/office/drawing/2014/main" id="{4D00B9CD-7AB8-4742-BB79-D9D41B65341A}"/>
                </a:ext>
              </a:extLst>
            </xdr:cNvPr>
            <xdr:cNvSpPr txBox="1"/>
          </xdr:nvSpPr>
          <xdr:spPr>
            <a:xfrm>
              <a:off x="11684000" y="191737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0.39626</cdr:x>
      <cdr:y>0.35563</cdr:y>
    </cdr:from>
    <cdr:to>
      <cdr:x>0.45478</cdr:x>
      <cdr:y>0.52698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614CE235-2A30-D11D-CF7E-BF08D1DEC2CA}"/>
            </a:ext>
          </a:extLst>
        </cdr:cNvPr>
        <cdr:cNvCxnSpPr/>
      </cdr:nvCxnSpPr>
      <cdr:spPr>
        <a:xfrm xmlns:a="http://schemas.openxmlformats.org/drawingml/2006/main" flipV="1">
          <a:off x="4857515" y="1732844"/>
          <a:ext cx="717315" cy="8349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0.379</cdr:x>
      <cdr:y>0.52939</cdr:y>
    </cdr:from>
    <cdr:to>
      <cdr:x>0.45359</cdr:x>
      <cdr:y>0.71706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75D2630C-9C54-8EB1-C4C2-F16CC553410F}"/>
            </a:ext>
          </a:extLst>
        </cdr:cNvPr>
        <cdr:cNvSpPr txBox="1"/>
      </cdr:nvSpPr>
      <cdr:spPr>
        <a:xfrm xmlns:a="http://schemas.openxmlformats.org/drawingml/2006/main">
          <a:off x="4645848" y="25795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_tradnl" sz="1100"/>
        </a:p>
      </cdr:txBody>
    </cdr:sp>
  </cdr:relSizeAnchor>
  <cdr:relSizeAnchor xmlns:cdr="http://schemas.openxmlformats.org/drawingml/2006/chartDrawing">
    <cdr:from>
      <cdr:x>0.38379</cdr:x>
      <cdr:y>0.50767</cdr:y>
    </cdr:from>
    <cdr:to>
      <cdr:x>0.40658</cdr:x>
      <cdr:y>0.55295</cdr:y>
    </cdr:to>
    <cdr:sp macro="" textlink="">
      <cdr:nvSpPr>
        <cdr:cNvPr id="9" name="Estrella de 5 puntas 8">
          <a:extLst xmlns:a="http://schemas.openxmlformats.org/drawingml/2006/main">
            <a:ext uri="{FF2B5EF4-FFF2-40B4-BE49-F238E27FC236}">
              <a16:creationId xmlns:a16="http://schemas.microsoft.com/office/drawing/2014/main" id="{864DE175-0D8C-2FCB-45C1-529B139DDB81}"/>
            </a:ext>
          </a:extLst>
        </cdr:cNvPr>
        <cdr:cNvSpPr/>
      </cdr:nvSpPr>
      <cdr:spPr>
        <a:xfrm xmlns:a="http://schemas.openxmlformats.org/drawingml/2006/main">
          <a:off x="4704643" y="2473678"/>
          <a:ext cx="279399" cy="220604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0.41485</cdr:x>
      <cdr:y>0.48746</cdr:y>
    </cdr:from>
    <cdr:to>
      <cdr:x>0.45507</cdr:x>
      <cdr:y>0.60962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>
          <a:off x="5109189" y="2459165"/>
          <a:ext cx="495351" cy="61630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0.40238</cdr:x>
      <cdr:y>0.46821</cdr:y>
    </cdr:from>
    <cdr:to>
      <cdr:x>0.42517</cdr:x>
      <cdr:y>0.51335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959564" y="2290853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0.39517</cdr:x>
      <cdr:y>0.47102</cdr:y>
    </cdr:from>
    <cdr:to>
      <cdr:x>0.45368</cdr:x>
      <cdr:y>0.64076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70693" y="2319677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0.62164</cdr:y>
    </cdr:from>
    <cdr:to>
      <cdr:x>0.40549</cdr:x>
      <cdr:y>0.66649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16980" y="3061415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0.39639</cdr:x>
      <cdr:y>0.42422</cdr:y>
    </cdr:from>
    <cdr:to>
      <cdr:x>0.45491</cdr:x>
      <cdr:y>0.59495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84963" y="2077093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0.38391</cdr:x>
      <cdr:y>0.57572</cdr:y>
    </cdr:from>
    <cdr:to>
      <cdr:x>0.40671</cdr:x>
      <cdr:y>0.62083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31250" y="2818831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0.39523</cdr:x>
      <cdr:y>0.1968</cdr:y>
    </cdr:from>
    <cdr:to>
      <cdr:x>0.45375</cdr:x>
      <cdr:y>0.36745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70692" y="964058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0.38275</cdr:x>
      <cdr:y>0.34822</cdr:y>
    </cdr:from>
    <cdr:to>
      <cdr:x>0.40555</cdr:x>
      <cdr:y>0.39331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16979" y="1705796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508000</xdr:colOff>
      <xdr:row>1</xdr:row>
      <xdr:rowOff>101600</xdr:rowOff>
    </xdr:from>
    <xdr:to>
      <xdr:col>52</xdr:col>
      <xdr:colOff>25399</xdr:colOff>
      <xdr:row>22</xdr:row>
      <xdr:rowOff>40544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3000" y="101600"/>
          <a:ext cx="7772400" cy="4376499"/>
        </a:xfrm>
        <a:prstGeom prst="rect">
          <a:avLst/>
        </a:prstGeom>
      </xdr:spPr>
    </xdr:pic>
    <xdr:clientData/>
  </xdr:twoCellAnchor>
  <xdr:oneCellAnchor>
    <xdr:from>
      <xdr:col>5</xdr:col>
      <xdr:colOff>231752</xdr:colOff>
      <xdr:row>2</xdr:row>
      <xdr:rowOff>185194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4337767" y="385720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1FDE831D-DC33-1A47-A66B-21E07CB0A4A6}"/>
                </a:ext>
              </a:extLst>
            </xdr:cNvPr>
            <xdr:cNvSpPr txBox="1"/>
          </xdr:nvSpPr>
          <xdr:spPr>
            <a:xfrm>
              <a:off x="4337767" y="385720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3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1850527" y="478229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BF6B3923-4222-E94D-84B2-1B6DD7D0E936}"/>
                </a:ext>
              </a:extLst>
            </xdr:cNvPr>
            <xdr:cNvSpPr txBox="1"/>
          </xdr:nvSpPr>
          <xdr:spPr>
            <a:xfrm>
              <a:off x="1850527" y="478229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1</xdr:col>
      <xdr:colOff>174012</xdr:colOff>
      <xdr:row>151</xdr:row>
      <xdr:rowOff>166883</xdr:rowOff>
    </xdr:from>
    <xdr:to>
      <xdr:col>12</xdr:col>
      <xdr:colOff>85112</xdr:colOff>
      <xdr:row>175</xdr:row>
      <xdr:rowOff>195609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31</xdr:row>
      <xdr:rowOff>114300</xdr:rowOff>
    </xdr:from>
    <xdr:to>
      <xdr:col>41</xdr:col>
      <xdr:colOff>139700</xdr:colOff>
      <xdr:row>55</xdr:row>
      <xdr:rowOff>12700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304800</xdr:colOff>
      <xdr:row>60</xdr:row>
      <xdr:rowOff>12700</xdr:rowOff>
    </xdr:from>
    <xdr:to>
      <xdr:col>41</xdr:col>
      <xdr:colOff>215900</xdr:colOff>
      <xdr:row>83</xdr:row>
      <xdr:rowOff>114300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89</xdr:row>
      <xdr:rowOff>0</xdr:rowOff>
    </xdr:from>
    <xdr:to>
      <xdr:col>41</xdr:col>
      <xdr:colOff>736600</xdr:colOff>
      <xdr:row>112</xdr:row>
      <xdr:rowOff>101600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119</xdr:row>
      <xdr:rowOff>0</xdr:rowOff>
    </xdr:from>
    <xdr:to>
      <xdr:col>41</xdr:col>
      <xdr:colOff>736600</xdr:colOff>
      <xdr:row>142</xdr:row>
      <xdr:rowOff>101600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15</xdr:col>
      <xdr:colOff>20481</xdr:colOff>
      <xdr:row>3</xdr:row>
      <xdr:rowOff>80958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/>
          </xdr:nvSpPr>
          <xdr:spPr>
            <a:xfrm>
              <a:off x="9126467" y="48701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E0CCCA5E-6B4A-2B42-851A-7E713BAFC217}"/>
                </a:ext>
              </a:extLst>
            </xdr:cNvPr>
            <xdr:cNvSpPr txBox="1"/>
          </xdr:nvSpPr>
          <xdr:spPr>
            <a:xfrm>
              <a:off x="9126467" y="48701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3</xdr:row>
      <xdr:rowOff>54741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 txBox="1"/>
          </xdr:nvSpPr>
          <xdr:spPr>
            <a:xfrm>
              <a:off x="10041168" y="462624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23413C22-E6DA-A241-A5AF-230CDD95679F}"/>
                </a:ext>
              </a:extLst>
            </xdr:cNvPr>
            <xdr:cNvSpPr txBox="1"/>
          </xdr:nvSpPr>
          <xdr:spPr>
            <a:xfrm>
              <a:off x="10041168" y="462624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-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3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 txBox="1"/>
          </xdr:nvSpPr>
          <xdr:spPr>
            <a:xfrm>
              <a:off x="15364155" y="48269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BAB9178D-F50A-5140-921C-22675209A3BD}"/>
                </a:ext>
              </a:extLst>
            </xdr:cNvPr>
            <xdr:cNvSpPr txBox="1"/>
          </xdr:nvSpPr>
          <xdr:spPr>
            <a:xfrm>
              <a:off x="15364155" y="48269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3</xdr:row>
      <xdr:rowOff>54741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 txBox="1"/>
          </xdr:nvSpPr>
          <xdr:spPr>
            <a:xfrm>
              <a:off x="16145431" y="460795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80BC5665-3A8E-E94E-9754-8C67B59BE301}"/>
                </a:ext>
              </a:extLst>
            </xdr:cNvPr>
            <xdr:cNvSpPr txBox="1"/>
          </xdr:nvSpPr>
          <xdr:spPr>
            <a:xfrm>
              <a:off x="16145431" y="460795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25174</xdr:colOff>
      <xdr:row>3</xdr:row>
      <xdr:rowOff>91906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 txBox="1"/>
          </xdr:nvSpPr>
          <xdr:spPr>
            <a:xfrm>
              <a:off x="11377419" y="49796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1DF1D7E1-F666-0D42-8F2D-0ECFCD9F8CBB}"/>
                </a:ext>
              </a:extLst>
            </xdr:cNvPr>
            <xdr:cNvSpPr txBox="1"/>
          </xdr:nvSpPr>
          <xdr:spPr>
            <a:xfrm>
              <a:off x="11377419" y="49796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69786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 txBox="1"/>
          </xdr:nvSpPr>
          <xdr:spPr>
            <a:xfrm>
              <a:off x="16540238" y="47584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A5A29346-1314-F343-878F-E8C6A66CCB90}"/>
                </a:ext>
              </a:extLst>
            </xdr:cNvPr>
            <xdr:cNvSpPr txBox="1"/>
          </xdr:nvSpPr>
          <xdr:spPr>
            <a:xfrm>
              <a:off x="16540238" y="47584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19960</xdr:colOff>
      <xdr:row>3</xdr:row>
      <xdr:rowOff>94216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SpPr txBox="1"/>
          </xdr:nvSpPr>
          <xdr:spPr>
            <a:xfrm>
              <a:off x="16015912" y="50027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EA9C3D92-0D22-C949-85A2-797228AE7CC8}"/>
                </a:ext>
              </a:extLst>
            </xdr:cNvPr>
            <xdr:cNvSpPr txBox="1"/>
          </xdr:nvSpPr>
          <xdr:spPr>
            <a:xfrm>
              <a:off x="16015912" y="50027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777951</xdr:colOff>
      <xdr:row>26</xdr:row>
      <xdr:rowOff>159120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800-000020000000}"/>
                </a:ext>
              </a:extLst>
            </xdr:cNvPr>
            <xdr:cNvSpPr txBox="1"/>
          </xdr:nvSpPr>
          <xdr:spPr>
            <a:xfrm>
              <a:off x="777951" y="5428672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1E9A22D-5ACC-E5C7-253D-B83B1F9EC2E5}"/>
                </a:ext>
              </a:extLst>
            </xdr:cNvPr>
            <xdr:cNvSpPr txBox="1"/>
          </xdr:nvSpPr>
          <xdr:spPr>
            <a:xfrm>
              <a:off x="777951" y="5428672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)=46(−1;−2;−1;−3)𝑑𝐵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235800</xdr:colOff>
      <xdr:row>28</xdr:row>
      <xdr:rowOff>90678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SpPr txBox="1"/>
          </xdr:nvSpPr>
          <xdr:spPr>
            <a:xfrm>
              <a:off x="6060612" y="5686317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477973B-E9F1-4C4B-A50D-6E2C39FE17B8}"/>
                </a:ext>
              </a:extLst>
            </xdr:cNvPr>
            <xdr:cNvSpPr txBox="1"/>
          </xdr:nvSpPr>
          <xdr:spPr>
            <a:xfrm>
              <a:off x="6060612" y="5686317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208410</xdr:colOff>
      <xdr:row>28</xdr:row>
      <xdr:rowOff>99560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SpPr txBox="1"/>
          </xdr:nvSpPr>
          <xdr:spPr>
            <a:xfrm>
              <a:off x="11571568" y="569519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DEE8D1E-79BB-FB4D-A0A3-DE57CEF6DE70}"/>
                </a:ext>
              </a:extLst>
            </xdr:cNvPr>
            <xdr:cNvSpPr txBox="1"/>
          </xdr:nvSpPr>
          <xdr:spPr>
            <a:xfrm>
              <a:off x="11571568" y="569519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50−5000)=46+(−3)=43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317688</xdr:colOff>
      <xdr:row>27</xdr:row>
      <xdr:rowOff>51958</xdr:rowOff>
    </xdr:from>
    <xdr:ext cx="3735574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SpPr txBox="1"/>
          </xdr:nvSpPr>
          <xdr:spPr>
            <a:xfrm>
              <a:off x="6142500" y="5447071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950D44E-2A9F-AE44-97A7-BDD86ACA7A7C}"/>
                </a:ext>
              </a:extLst>
            </xdr:cNvPr>
            <xdr:cNvSpPr txBox="1"/>
          </xdr:nvSpPr>
          <xdr:spPr>
            <a:xfrm>
              <a:off x="6142500" y="5447071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280890</xdr:colOff>
      <xdr:row>27</xdr:row>
      <xdr:rowOff>95650</xdr:rowOff>
    </xdr:from>
    <xdr:ext cx="3873047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SpPr txBox="1"/>
          </xdr:nvSpPr>
          <xdr:spPr>
            <a:xfrm>
              <a:off x="11644048" y="5490763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8E107450-D1D8-EF41-A009-1C10AC8C62F8}"/>
                </a:ext>
              </a:extLst>
            </xdr:cNvPr>
            <xdr:cNvSpPr txBox="1"/>
          </xdr:nvSpPr>
          <xdr:spPr>
            <a:xfrm>
              <a:off x="11644048" y="5490763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+𝐶_𝑡𝑟=46+(−2)=44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24801</xdr:colOff>
      <xdr:row>32</xdr:row>
      <xdr:rowOff>93917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 txBox="1"/>
          </xdr:nvSpPr>
          <xdr:spPr>
            <a:xfrm>
              <a:off x="9130787" y="6564869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4D0FCF2A-D0F2-FB4F-8B9C-2949077BE4D6}"/>
                </a:ext>
              </a:extLst>
            </xdr:cNvPr>
            <xdr:cNvSpPr txBox="1"/>
          </xdr:nvSpPr>
          <xdr:spPr>
            <a:xfrm>
              <a:off x="9130787" y="6564869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32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SpPr txBox="1"/>
          </xdr:nvSpPr>
          <xdr:spPr>
            <a:xfrm>
              <a:off x="15364155" y="654759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EB09F4B6-4D73-A74C-8CF3-C7665D7BFF9E}"/>
                </a:ext>
              </a:extLst>
            </xdr:cNvPr>
            <xdr:cNvSpPr txBox="1"/>
          </xdr:nvSpPr>
          <xdr:spPr>
            <a:xfrm>
              <a:off x="15364155" y="654759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32</xdr:row>
      <xdr:rowOff>54741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SpPr txBox="1"/>
          </xdr:nvSpPr>
          <xdr:spPr>
            <a:xfrm>
              <a:off x="16145431" y="652569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9695E13B-FD34-3542-9B1C-14A0BCB031AD}"/>
                </a:ext>
              </a:extLst>
            </xdr:cNvPr>
            <xdr:cNvSpPr txBox="1"/>
          </xdr:nvSpPr>
          <xdr:spPr>
            <a:xfrm>
              <a:off x="16145431" y="652569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29493</xdr:colOff>
      <xdr:row>32</xdr:row>
      <xdr:rowOff>96227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SpPr txBox="1"/>
          </xdr:nvSpPr>
          <xdr:spPr>
            <a:xfrm>
              <a:off x="11381738" y="6567179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98CE96E8-4D2C-8849-856B-735F372FA98C}"/>
                </a:ext>
              </a:extLst>
            </xdr:cNvPr>
            <xdr:cNvSpPr txBox="1"/>
          </xdr:nvSpPr>
          <xdr:spPr>
            <a:xfrm>
              <a:off x="11381738" y="6567179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32</xdr:row>
      <xdr:rowOff>91384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00000000-0008-0000-0800-00002F000000}"/>
                </a:ext>
              </a:extLst>
            </xdr:cNvPr>
            <xdr:cNvSpPr txBox="1"/>
          </xdr:nvSpPr>
          <xdr:spPr>
            <a:xfrm>
              <a:off x="16540238" y="656233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989D32BB-2CC5-C342-BBA0-E4FD62BDF1CD}"/>
                </a:ext>
              </a:extLst>
            </xdr:cNvPr>
            <xdr:cNvSpPr txBox="1"/>
          </xdr:nvSpPr>
          <xdr:spPr>
            <a:xfrm>
              <a:off x="16540238" y="656233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11321</xdr:colOff>
      <xdr:row>32</xdr:row>
      <xdr:rowOff>107175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00000000-0008-0000-0800-000030000000}"/>
                </a:ext>
              </a:extLst>
            </xdr:cNvPr>
            <xdr:cNvSpPr txBox="1"/>
          </xdr:nvSpPr>
          <xdr:spPr>
            <a:xfrm>
              <a:off x="16007273" y="65781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15B0D556-BDAF-4A48-8489-BE2D32637C29}"/>
                </a:ext>
              </a:extLst>
            </xdr:cNvPr>
            <xdr:cNvSpPr txBox="1"/>
          </xdr:nvSpPr>
          <xdr:spPr>
            <a:xfrm>
              <a:off x="16007273" y="65781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155965</xdr:colOff>
      <xdr:row>56</xdr:row>
      <xdr:rowOff>77982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800-000039000000}"/>
                </a:ext>
              </a:extLst>
            </xdr:cNvPr>
            <xdr:cNvSpPr txBox="1"/>
          </xdr:nvSpPr>
          <xdr:spPr>
            <a:xfrm>
              <a:off x="984807" y="1148124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−3;−4;−3;−4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9F64229F-920D-7641-9315-6F8EE1CED7BE}"/>
                </a:ext>
              </a:extLst>
            </xdr:cNvPr>
            <xdr:cNvSpPr txBox="1"/>
          </xdr:nvSpPr>
          <xdr:spPr>
            <a:xfrm>
              <a:off x="984807" y="11481245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)=25(−3;−4;−3;−4)𝑑𝐵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145368</xdr:colOff>
      <xdr:row>57</xdr:row>
      <xdr:rowOff>124126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00000000-0008-0000-0800-00003A000000}"/>
                </a:ext>
              </a:extLst>
            </xdr:cNvPr>
            <xdr:cNvSpPr txBox="1"/>
          </xdr:nvSpPr>
          <xdr:spPr>
            <a:xfrm>
              <a:off x="6441894" y="11727915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57EB3FB-D383-CE4D-8B78-2EE754F399B9}"/>
                </a:ext>
              </a:extLst>
            </xdr:cNvPr>
            <xdr:cNvSpPr txBox="1"/>
          </xdr:nvSpPr>
          <xdr:spPr>
            <a:xfrm>
              <a:off x="6441894" y="11727915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525396</xdr:colOff>
      <xdr:row>57</xdr:row>
      <xdr:rowOff>113911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0000000-0008-0000-0800-00003B000000}"/>
                </a:ext>
              </a:extLst>
            </xdr:cNvPr>
            <xdr:cNvSpPr txBox="1"/>
          </xdr:nvSpPr>
          <xdr:spPr>
            <a:xfrm>
              <a:off x="11688028" y="1171770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CFC98F47-C265-454A-940E-B42806233B54}"/>
                </a:ext>
              </a:extLst>
            </xdr:cNvPr>
            <xdr:cNvSpPr txBox="1"/>
          </xdr:nvSpPr>
          <xdr:spPr>
            <a:xfrm>
              <a:off x="11688028" y="1171770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50−5000)=26+(−4)=21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150865</xdr:colOff>
      <xdr:row>56</xdr:row>
      <xdr:rowOff>94956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800-00003C000000}"/>
                </a:ext>
              </a:extLst>
            </xdr:cNvPr>
            <xdr:cNvSpPr txBox="1"/>
          </xdr:nvSpPr>
          <xdr:spPr>
            <a:xfrm>
              <a:off x="6447391" y="11498219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7BE39A0D-CAE6-1E4C-98CA-7E28BD2AC031}"/>
                </a:ext>
              </a:extLst>
            </xdr:cNvPr>
            <xdr:cNvSpPr txBox="1"/>
          </xdr:nvSpPr>
          <xdr:spPr>
            <a:xfrm>
              <a:off x="6447391" y="11498219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511937</xdr:colOff>
      <xdr:row>56</xdr:row>
      <xdr:rowOff>100453</xdr:rowOff>
    </xdr:from>
    <xdr:ext cx="3827779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00000000-0008-0000-0800-00003D000000}"/>
                </a:ext>
              </a:extLst>
            </xdr:cNvPr>
            <xdr:cNvSpPr txBox="1"/>
          </xdr:nvSpPr>
          <xdr:spPr>
            <a:xfrm>
              <a:off x="11674569" y="11503716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C5BFEADF-F115-2048-B74F-E8FA21D34AB5}"/>
                </a:ext>
              </a:extLst>
            </xdr:cNvPr>
            <xdr:cNvSpPr txBox="1"/>
          </xdr:nvSpPr>
          <xdr:spPr>
            <a:xfrm>
              <a:off x="11674569" y="11503716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+𝐶_𝑡𝑟=25+(−4)=21𝑑𝐵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33441</xdr:colOff>
      <xdr:row>61</xdr:row>
      <xdr:rowOff>93917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800-00003E000000}"/>
                </a:ext>
              </a:extLst>
            </xdr:cNvPr>
            <xdr:cNvSpPr txBox="1"/>
          </xdr:nvSpPr>
          <xdr:spPr>
            <a:xfrm>
              <a:off x="9446128" y="126427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4381327D-3DBD-7B4F-8D15-E2F0215C8FE6}"/>
                </a:ext>
              </a:extLst>
            </xdr:cNvPr>
            <xdr:cNvSpPr txBox="1"/>
          </xdr:nvSpPr>
          <xdr:spPr>
            <a:xfrm>
              <a:off x="9446128" y="126427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61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00000000-0008-0000-0800-000040000000}"/>
                </a:ext>
              </a:extLst>
            </xdr:cNvPr>
            <xdr:cNvSpPr txBox="1"/>
          </xdr:nvSpPr>
          <xdr:spPr>
            <a:xfrm>
              <a:off x="15364155" y="1262544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CD15E515-B471-6F4D-B2DD-6162DE4662D9}"/>
                </a:ext>
              </a:extLst>
            </xdr:cNvPr>
            <xdr:cNvSpPr txBox="1"/>
          </xdr:nvSpPr>
          <xdr:spPr>
            <a:xfrm>
              <a:off x="15364155" y="1262544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24206</xdr:colOff>
      <xdr:row>61</xdr:row>
      <xdr:rowOff>80660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00000000-0008-0000-0800-000041000000}"/>
                </a:ext>
              </a:extLst>
            </xdr:cNvPr>
            <xdr:cNvSpPr txBox="1"/>
          </xdr:nvSpPr>
          <xdr:spPr>
            <a:xfrm>
              <a:off x="15575226" y="1262947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3A4E246B-AEAD-4541-A601-D71E7607374B}"/>
                </a:ext>
              </a:extLst>
            </xdr:cNvPr>
            <xdr:cNvSpPr txBox="1"/>
          </xdr:nvSpPr>
          <xdr:spPr>
            <a:xfrm>
              <a:off x="15575226" y="1262947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38133</xdr:colOff>
      <xdr:row>61</xdr:row>
      <xdr:rowOff>109186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00000000-0008-0000-0800-000042000000}"/>
                </a:ext>
              </a:extLst>
            </xdr:cNvPr>
            <xdr:cNvSpPr txBox="1"/>
          </xdr:nvSpPr>
          <xdr:spPr>
            <a:xfrm>
              <a:off x="12146330" y="1265799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B40BE550-3266-4C45-9453-6D4AA6CEC342}"/>
                </a:ext>
              </a:extLst>
            </xdr:cNvPr>
            <xdr:cNvSpPr txBox="1"/>
          </xdr:nvSpPr>
          <xdr:spPr>
            <a:xfrm>
              <a:off x="12146330" y="1265799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12959</xdr:colOff>
      <xdr:row>61</xdr:row>
      <xdr:rowOff>100023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00000000-0008-0000-0800-000044000000}"/>
                </a:ext>
              </a:extLst>
            </xdr:cNvPr>
            <xdr:cNvSpPr txBox="1"/>
          </xdr:nvSpPr>
          <xdr:spPr>
            <a:xfrm>
              <a:off x="19084558" y="1264883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D441673A-80E1-3E4A-AD10-C855AF166185}"/>
                </a:ext>
              </a:extLst>
            </xdr:cNvPr>
            <xdr:cNvSpPr txBox="1"/>
          </xdr:nvSpPr>
          <xdr:spPr>
            <a:xfrm>
              <a:off x="19084558" y="1264883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37239</xdr:colOff>
      <xdr:row>61</xdr:row>
      <xdr:rowOff>111494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00000000-0008-0000-0800-000045000000}"/>
                </a:ext>
              </a:extLst>
            </xdr:cNvPr>
            <xdr:cNvSpPr txBox="1"/>
          </xdr:nvSpPr>
          <xdr:spPr>
            <a:xfrm>
              <a:off x="18283770" y="12660304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  <m:sup>
                      <m:r>
                        <a:rPr lang="es-ES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bSup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2FE228D4-630E-104E-84A4-2CF446CDE28E}"/>
                </a:ext>
              </a:extLst>
            </xdr:cNvPr>
            <xdr:cNvSpPr txBox="1"/>
          </xdr:nvSpPr>
          <xdr:spPr>
            <a:xfrm>
              <a:off x="18283770" y="12660304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825036</xdr:colOff>
      <xdr:row>85</xdr:row>
      <xdr:rowOff>1387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00000000-0008-0000-0800-000046000000}"/>
                </a:ext>
              </a:extLst>
            </xdr:cNvPr>
            <xdr:cNvSpPr txBox="1"/>
          </xdr:nvSpPr>
          <xdr:spPr>
            <a:xfrm>
              <a:off x="825036" y="17317561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FAD5C132-3E0D-6F43-93FD-38658BFA2EBE}"/>
                </a:ext>
              </a:extLst>
            </xdr:cNvPr>
            <xdr:cNvSpPr txBox="1"/>
          </xdr:nvSpPr>
          <xdr:spPr>
            <a:xfrm>
              <a:off x="825036" y="17317561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)=35(0;−2;0;−3)𝑑𝐵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86</xdr:row>
      <xdr:rowOff>46144</xdr:rowOff>
    </xdr:from>
    <xdr:ext cx="495219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00000000-0008-0000-0800-000047000000}"/>
                </a:ext>
              </a:extLst>
            </xdr:cNvPr>
            <xdr:cNvSpPr txBox="1"/>
          </xdr:nvSpPr>
          <xdr:spPr>
            <a:xfrm>
              <a:off x="6289592" y="18092312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63D49685-1F4B-4D47-8303-3FA00C4E7CDD}"/>
                </a:ext>
              </a:extLst>
            </xdr:cNvPr>
            <xdr:cNvSpPr txBox="1"/>
          </xdr:nvSpPr>
          <xdr:spPr>
            <a:xfrm>
              <a:off x="6289592" y="18092312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86</xdr:row>
      <xdr:rowOff>35929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00000000-0008-0000-0800-000048000000}"/>
                </a:ext>
              </a:extLst>
            </xdr:cNvPr>
            <xdr:cNvSpPr txBox="1"/>
          </xdr:nvSpPr>
          <xdr:spPr>
            <a:xfrm>
              <a:off x="11532731" y="1790482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61BCF0BC-97F2-D348-9B89-CBA83505FDE5}"/>
                </a:ext>
              </a:extLst>
            </xdr:cNvPr>
            <xdr:cNvSpPr txBox="1"/>
          </xdr:nvSpPr>
          <xdr:spPr>
            <a:xfrm>
              <a:off x="11532731" y="1790482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50−5000)=35+(−3)=32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181580</xdr:colOff>
      <xdr:row>85</xdr:row>
      <xdr:rowOff>74268</xdr:rowOff>
    </xdr:from>
    <xdr:ext cx="358226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00000000-0008-0000-0800-000049000000}"/>
                </a:ext>
              </a:extLst>
            </xdr:cNvPr>
            <xdr:cNvSpPr txBox="1"/>
          </xdr:nvSpPr>
          <xdr:spPr>
            <a:xfrm>
              <a:off x="6034623" y="17390442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D74D26DD-48E0-D843-AC6E-534500F95DDD}"/>
                </a:ext>
              </a:extLst>
            </xdr:cNvPr>
            <xdr:cNvSpPr txBox="1"/>
          </xdr:nvSpPr>
          <xdr:spPr>
            <a:xfrm>
              <a:off x="6034623" y="17390442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193641</xdr:colOff>
      <xdr:row>85</xdr:row>
      <xdr:rowOff>79764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00000000-0008-0000-0800-00004A000000}"/>
                </a:ext>
              </a:extLst>
            </xdr:cNvPr>
            <xdr:cNvSpPr txBox="1"/>
          </xdr:nvSpPr>
          <xdr:spPr>
            <a:xfrm>
              <a:off x="10974318" y="17525553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2ED69D4E-A769-B347-92F2-A7E9202042C8}"/>
                </a:ext>
              </a:extLst>
            </xdr:cNvPr>
            <xdr:cNvSpPr txBox="1"/>
          </xdr:nvSpPr>
          <xdr:spPr>
            <a:xfrm>
              <a:off x="10974318" y="17525553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+𝐶_𝑡𝑟=35+(−2)=33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20482</xdr:colOff>
      <xdr:row>90</xdr:row>
      <xdr:rowOff>89597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00000000-0008-0000-0800-00004B000000}"/>
                </a:ext>
              </a:extLst>
            </xdr:cNvPr>
            <xdr:cNvSpPr txBox="1"/>
          </xdr:nvSpPr>
          <xdr:spPr>
            <a:xfrm>
              <a:off x="9433169" y="18755141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E69CC751-17C3-2348-9F7D-5452269C5968}"/>
                </a:ext>
              </a:extLst>
            </xdr:cNvPr>
            <xdr:cNvSpPr txBox="1"/>
          </xdr:nvSpPr>
          <xdr:spPr>
            <a:xfrm>
              <a:off x="9433169" y="18755141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90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00000000-0008-0000-0800-00004D000000}"/>
                </a:ext>
              </a:extLst>
            </xdr:cNvPr>
            <xdr:cNvSpPr txBox="1"/>
          </xdr:nvSpPr>
          <xdr:spPr>
            <a:xfrm>
              <a:off x="13714019" y="1874218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D8D3C0C4-E2D7-CF48-AC4E-628A6A592142}"/>
                </a:ext>
              </a:extLst>
            </xdr:cNvPr>
            <xdr:cNvSpPr txBox="1"/>
          </xdr:nvSpPr>
          <xdr:spPr>
            <a:xfrm>
              <a:off x="13714019" y="1874218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90</xdr:row>
      <xdr:rowOff>54741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00000000-0008-0000-0800-00004E000000}"/>
                </a:ext>
              </a:extLst>
            </xdr:cNvPr>
            <xdr:cNvSpPr txBox="1"/>
          </xdr:nvSpPr>
          <xdr:spPr>
            <a:xfrm>
              <a:off x="14253390" y="18720285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AD7FDDBD-14A9-6C40-9048-6E88618C11B5}"/>
                </a:ext>
              </a:extLst>
            </xdr:cNvPr>
            <xdr:cNvSpPr txBox="1"/>
          </xdr:nvSpPr>
          <xdr:spPr>
            <a:xfrm>
              <a:off x="14253390" y="18720285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25174</xdr:colOff>
      <xdr:row>90</xdr:row>
      <xdr:rowOff>96227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00000000-0008-0000-0800-00004F000000}"/>
                </a:ext>
              </a:extLst>
            </xdr:cNvPr>
            <xdr:cNvSpPr txBox="1"/>
          </xdr:nvSpPr>
          <xdr:spPr>
            <a:xfrm>
              <a:off x="11377419" y="18761771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E2EBE8ED-3BC9-564A-8971-AFDAA3C59A97}"/>
                </a:ext>
              </a:extLst>
            </xdr:cNvPr>
            <xdr:cNvSpPr txBox="1"/>
          </xdr:nvSpPr>
          <xdr:spPr>
            <a:xfrm>
              <a:off x="11377419" y="18761771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565884</xdr:colOff>
      <xdr:row>90</xdr:row>
      <xdr:rowOff>74106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00000000-0008-0000-0800-000051000000}"/>
                </a:ext>
              </a:extLst>
            </xdr:cNvPr>
            <xdr:cNvSpPr txBox="1"/>
          </xdr:nvSpPr>
          <xdr:spPr>
            <a:xfrm>
              <a:off x="16561836" y="1873965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A371693D-D641-B749-AEA5-46C2FE040D21}"/>
                </a:ext>
              </a:extLst>
            </xdr:cNvPr>
            <xdr:cNvSpPr txBox="1"/>
          </xdr:nvSpPr>
          <xdr:spPr>
            <a:xfrm>
              <a:off x="16561836" y="1873965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24279</xdr:colOff>
      <xdr:row>90</xdr:row>
      <xdr:rowOff>94216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800-000052000000}"/>
                </a:ext>
              </a:extLst>
            </xdr:cNvPr>
            <xdr:cNvSpPr txBox="1"/>
          </xdr:nvSpPr>
          <xdr:spPr>
            <a:xfrm>
              <a:off x="16020231" y="1875976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7BB22FB4-F705-5948-A851-B9EB891C4998}"/>
                </a:ext>
              </a:extLst>
            </xdr:cNvPr>
            <xdr:cNvSpPr txBox="1"/>
          </xdr:nvSpPr>
          <xdr:spPr>
            <a:xfrm>
              <a:off x="16020231" y="1875976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825036</xdr:colOff>
      <xdr:row>115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00000000-0008-0000-0800-000053000000}"/>
                </a:ext>
              </a:extLst>
            </xdr:cNvPr>
            <xdr:cNvSpPr txBox="1"/>
          </xdr:nvSpPr>
          <xdr:spPr>
            <a:xfrm>
              <a:off x="825036" y="23648737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−1;−3;−1;−4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A9886F9-0B71-9549-8C60-C5E0D7193749}"/>
                </a:ext>
              </a:extLst>
            </xdr:cNvPr>
            <xdr:cNvSpPr txBox="1"/>
          </xdr:nvSpPr>
          <xdr:spPr>
            <a:xfrm>
              <a:off x="825036" y="23648737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)=39(−1;−3;−1;−4)𝑑𝐵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116</xdr:row>
      <xdr:rowOff>42591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00000000-0008-0000-0800-000054000000}"/>
                </a:ext>
              </a:extLst>
            </xdr:cNvPr>
            <xdr:cNvSpPr txBox="1"/>
          </xdr:nvSpPr>
          <xdr:spPr>
            <a:xfrm>
              <a:off x="6289271" y="23891854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106B845F-D609-254C-8DB2-C1C307531C91}"/>
                </a:ext>
              </a:extLst>
            </xdr:cNvPr>
            <xdr:cNvSpPr txBox="1"/>
          </xdr:nvSpPr>
          <xdr:spPr>
            <a:xfrm>
              <a:off x="6289271" y="23891854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116</xdr:row>
      <xdr:rowOff>32376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84">
              <a:extLst>
                <a:ext uri="{FF2B5EF4-FFF2-40B4-BE49-F238E27FC236}">
                  <a16:creationId xmlns:a16="http://schemas.microsoft.com/office/drawing/2014/main" id="{00000000-0008-0000-0800-000055000000}"/>
                </a:ext>
              </a:extLst>
            </xdr:cNvPr>
            <xdr:cNvSpPr txBox="1"/>
          </xdr:nvSpPr>
          <xdr:spPr>
            <a:xfrm>
              <a:off x="11514571" y="2401994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5" name="CuadroTexto 84">
              <a:extLst>
                <a:ext uri="{FF2B5EF4-FFF2-40B4-BE49-F238E27FC236}">
                  <a16:creationId xmlns:a16="http://schemas.microsoft.com/office/drawing/2014/main" id="{8A30D80E-B3C5-DF4E-BED3-AEC4D910A8BC}"/>
                </a:ext>
              </a:extLst>
            </xdr:cNvPr>
            <xdr:cNvSpPr txBox="1"/>
          </xdr:nvSpPr>
          <xdr:spPr>
            <a:xfrm>
              <a:off x="11514571" y="2401994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50−5000)=39+(−4)=35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115</xdr:row>
      <xdr:rowOff>13421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00000000-0008-0000-0800-000056000000}"/>
                </a:ext>
              </a:extLst>
            </xdr:cNvPr>
            <xdr:cNvSpPr txBox="1"/>
          </xdr:nvSpPr>
          <xdr:spPr>
            <a:xfrm>
              <a:off x="6302764" y="23799215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7F384EC1-9100-4F4B-B95F-0F0EE3F16D27}"/>
                </a:ext>
              </a:extLst>
            </xdr:cNvPr>
            <xdr:cNvSpPr txBox="1"/>
          </xdr:nvSpPr>
          <xdr:spPr>
            <a:xfrm>
              <a:off x="6302764" y="23799215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115</xdr:row>
      <xdr:rowOff>18918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86">
              <a:extLst>
                <a:ext uri="{FF2B5EF4-FFF2-40B4-BE49-F238E27FC236}">
                  <a16:creationId xmlns:a16="http://schemas.microsoft.com/office/drawing/2014/main" id="{00000000-0008-0000-0800-000057000000}"/>
                </a:ext>
              </a:extLst>
            </xdr:cNvPr>
            <xdr:cNvSpPr txBox="1"/>
          </xdr:nvSpPr>
          <xdr:spPr>
            <a:xfrm>
              <a:off x="11501112" y="23804712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7" name="CuadroTexto 86">
              <a:extLst>
                <a:ext uri="{FF2B5EF4-FFF2-40B4-BE49-F238E27FC236}">
                  <a16:creationId xmlns:a16="http://schemas.microsoft.com/office/drawing/2014/main" id="{7CF55F52-EB60-DF40-9CC8-B8513FF43534}"/>
                </a:ext>
              </a:extLst>
            </xdr:cNvPr>
            <xdr:cNvSpPr txBox="1"/>
          </xdr:nvSpPr>
          <xdr:spPr>
            <a:xfrm>
              <a:off x="11501112" y="23804712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+𝐶_𝑡𝑟=39+(−3)=36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16313</xdr:colOff>
      <xdr:row>120</xdr:row>
      <xdr:rowOff>86163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00000000-0008-0000-0800-000058000000}"/>
                </a:ext>
              </a:extLst>
            </xdr:cNvPr>
            <xdr:cNvSpPr txBox="1"/>
          </xdr:nvSpPr>
          <xdr:spPr>
            <a:xfrm>
              <a:off x="9122213" y="25054363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ED6CB0B2-FB58-194D-924E-7DF72CC3F663}"/>
                </a:ext>
              </a:extLst>
            </xdr:cNvPr>
            <xdr:cNvSpPr txBox="1"/>
          </xdr:nvSpPr>
          <xdr:spPr>
            <a:xfrm>
              <a:off x="9122213" y="25054363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525299</xdr:colOff>
      <xdr:row>120</xdr:row>
      <xdr:rowOff>76966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00000000-0008-0000-0800-000059000000}"/>
                </a:ext>
              </a:extLst>
            </xdr:cNvPr>
            <xdr:cNvSpPr txBox="1"/>
          </xdr:nvSpPr>
          <xdr:spPr>
            <a:xfrm>
              <a:off x="9631199" y="2504516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501F1204-772D-D646-9379-5AE8895B6B42}"/>
                </a:ext>
              </a:extLst>
            </xdr:cNvPr>
            <xdr:cNvSpPr txBox="1"/>
          </xdr:nvSpPr>
          <xdr:spPr>
            <a:xfrm>
              <a:off x="9631199" y="2504516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120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 txBox="1"/>
          </xdr:nvSpPr>
          <xdr:spPr>
            <a:xfrm>
              <a:off x="13716438" y="250448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22712837-B35B-8542-8ED7-FFDCA774242A}"/>
                </a:ext>
              </a:extLst>
            </xdr:cNvPr>
            <xdr:cNvSpPr txBox="1"/>
          </xdr:nvSpPr>
          <xdr:spPr>
            <a:xfrm>
              <a:off x="13716438" y="250448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120</xdr:row>
      <xdr:rowOff>75492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 txBox="1"/>
          </xdr:nvSpPr>
          <xdr:spPr>
            <a:xfrm>
              <a:off x="14260166" y="2506461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36D9618A-058B-E345-8661-195147C2C8EB}"/>
                </a:ext>
              </a:extLst>
            </xdr:cNvPr>
            <xdr:cNvSpPr txBox="1"/>
          </xdr:nvSpPr>
          <xdr:spPr>
            <a:xfrm>
              <a:off x="14260166" y="2506461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50034</xdr:colOff>
      <xdr:row>120</xdr:row>
      <xdr:rowOff>65362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800-00005C000000}"/>
                </a:ext>
              </a:extLst>
            </xdr:cNvPr>
            <xdr:cNvSpPr txBox="1"/>
          </xdr:nvSpPr>
          <xdr:spPr>
            <a:xfrm>
              <a:off x="11403834" y="2503356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77630CAB-89DD-9647-858D-D1D8107E916A}"/>
                </a:ext>
              </a:extLst>
            </xdr:cNvPr>
            <xdr:cNvSpPr txBox="1"/>
          </xdr:nvSpPr>
          <xdr:spPr>
            <a:xfrm>
              <a:off x="11403834" y="2503356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560294</xdr:colOff>
      <xdr:row>120</xdr:row>
      <xdr:rowOff>84669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00000000-0008-0000-0800-00005D000000}"/>
                </a:ext>
              </a:extLst>
            </xdr:cNvPr>
            <xdr:cNvSpPr txBox="1"/>
          </xdr:nvSpPr>
          <xdr:spPr>
            <a:xfrm>
              <a:off x="11915588" y="2507378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6D884465-E39B-B645-BCF0-D76EE5AD6F53}"/>
                </a:ext>
              </a:extLst>
            </xdr:cNvPr>
            <xdr:cNvSpPr txBox="1"/>
          </xdr:nvSpPr>
          <xdr:spPr>
            <a:xfrm>
              <a:off x="11915588" y="2507378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536575</xdr:colOff>
      <xdr:row>120</xdr:row>
      <xdr:rowOff>87367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0000000-0008-0000-0800-00005E000000}"/>
                </a:ext>
              </a:extLst>
            </xdr:cNvPr>
            <xdr:cNvSpPr txBox="1"/>
          </xdr:nvSpPr>
          <xdr:spPr>
            <a:xfrm>
              <a:off x="16538575" y="2505556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E2FFA2B2-8F4C-4343-B703-72A7541B3F6F}"/>
                </a:ext>
              </a:extLst>
            </xdr:cNvPr>
            <xdr:cNvSpPr txBox="1"/>
          </xdr:nvSpPr>
          <xdr:spPr>
            <a:xfrm>
              <a:off x="16538575" y="2505556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25619</xdr:colOff>
      <xdr:row>120</xdr:row>
      <xdr:rowOff>89010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00000000-0008-0000-0800-00005F000000}"/>
                </a:ext>
              </a:extLst>
            </xdr:cNvPr>
            <xdr:cNvSpPr txBox="1"/>
          </xdr:nvSpPr>
          <xdr:spPr>
            <a:xfrm>
              <a:off x="16027619" y="2505721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6BB90369-4024-FD40-823B-60D5FE8A59A3}"/>
                </a:ext>
              </a:extLst>
            </xdr:cNvPr>
            <xdr:cNvSpPr txBox="1"/>
          </xdr:nvSpPr>
          <xdr:spPr>
            <a:xfrm>
              <a:off x="16027619" y="2505721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825036</xdr:colOff>
      <xdr:row>145</xdr:row>
      <xdr:rowOff>0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00000000-0008-0000-0800-000060000000}"/>
                </a:ext>
              </a:extLst>
            </xdr:cNvPr>
            <xdr:cNvSpPr txBox="1"/>
          </xdr:nvSpPr>
          <xdr:spPr>
            <a:xfrm>
              <a:off x="825036" y="30359489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A214C309-61EA-4D4B-8D16-EBE174A64082}"/>
                </a:ext>
              </a:extLst>
            </xdr:cNvPr>
            <xdr:cNvSpPr txBox="1"/>
          </xdr:nvSpPr>
          <xdr:spPr>
            <a:xfrm>
              <a:off x="825036" y="30359489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)=59(0;−6;0;−7)𝑑𝐵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146</xdr:row>
      <xdr:rowOff>42590</xdr:rowOff>
    </xdr:from>
    <xdr:ext cx="4781886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00000000-0008-0000-0800-000061000000}"/>
                </a:ext>
              </a:extLst>
            </xdr:cNvPr>
            <xdr:cNvSpPr txBox="1"/>
          </xdr:nvSpPr>
          <xdr:spPr>
            <a:xfrm>
              <a:off x="6289271" y="30121537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66C32746-8657-CD4D-9453-FCD04C5F8576}"/>
                </a:ext>
              </a:extLst>
            </xdr:cNvPr>
            <xdr:cNvSpPr txBox="1"/>
          </xdr:nvSpPr>
          <xdr:spPr>
            <a:xfrm>
              <a:off x="6289271" y="30121537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146</xdr:row>
      <xdr:rowOff>32375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00000000-0008-0000-0800-000062000000}"/>
                </a:ext>
              </a:extLst>
            </xdr:cNvPr>
            <xdr:cNvSpPr txBox="1"/>
          </xdr:nvSpPr>
          <xdr:spPr>
            <a:xfrm>
              <a:off x="11532063" y="3011132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−7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F75A1396-BB49-CB40-A3EF-78188B91219A}"/>
                </a:ext>
              </a:extLst>
            </xdr:cNvPr>
            <xdr:cNvSpPr txBox="1"/>
          </xdr:nvSpPr>
          <xdr:spPr>
            <a:xfrm>
              <a:off x="11532063" y="30111322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50−5000)=60+(−7)=53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145</xdr:row>
      <xdr:rowOff>13421</xdr:rowOff>
    </xdr:from>
    <xdr:ext cx="3411960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00000000-0008-0000-0800-000063000000}"/>
                </a:ext>
              </a:extLst>
            </xdr:cNvPr>
            <xdr:cNvSpPr txBox="1"/>
          </xdr:nvSpPr>
          <xdr:spPr>
            <a:xfrm>
              <a:off x="6296767" y="29891842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108C3B28-C791-964A-9FD2-7C9C4B265649}"/>
                </a:ext>
              </a:extLst>
            </xdr:cNvPr>
            <xdr:cNvSpPr txBox="1"/>
          </xdr:nvSpPr>
          <xdr:spPr>
            <a:xfrm>
              <a:off x="6296767" y="29891842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145</xdr:row>
      <xdr:rowOff>18918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00000000-0008-0000-0800-000064000000}"/>
                </a:ext>
              </a:extLst>
            </xdr:cNvPr>
            <xdr:cNvSpPr txBox="1"/>
          </xdr:nvSpPr>
          <xdr:spPr>
            <a:xfrm>
              <a:off x="11518604" y="29897339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51C841DD-5D3F-C540-B2CB-9BB36F2B9E5C}"/>
                </a:ext>
              </a:extLst>
            </xdr:cNvPr>
            <xdr:cNvSpPr txBox="1"/>
          </xdr:nvSpPr>
          <xdr:spPr>
            <a:xfrm>
              <a:off x="11518604" y="29897339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+𝐶_𝑡𝑟=60+(−6)=54 𝑑𝐵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22</xdr:col>
      <xdr:colOff>995680</xdr:colOff>
      <xdr:row>144</xdr:row>
      <xdr:rowOff>126004</xdr:rowOff>
    </xdr:from>
    <xdr:to>
      <xdr:col>26</xdr:col>
      <xdr:colOff>348291</xdr:colOff>
      <xdr:row>148</xdr:row>
      <xdr:rowOff>121919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99280" y="30199604"/>
          <a:ext cx="2801620" cy="808715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3</xdr:row>
      <xdr:rowOff>77755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00000000-0008-0000-0800-000067000000}"/>
                </a:ext>
              </a:extLst>
            </xdr:cNvPr>
            <xdr:cNvSpPr txBox="1"/>
          </xdr:nvSpPr>
          <xdr:spPr>
            <a:xfrm>
              <a:off x="11909490" y="48380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68E71306-854B-6146-9813-337E219955BA}"/>
                </a:ext>
              </a:extLst>
            </xdr:cNvPr>
            <xdr:cNvSpPr txBox="1"/>
          </xdr:nvSpPr>
          <xdr:spPr>
            <a:xfrm>
              <a:off x="11909490" y="48380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32</xdr:row>
      <xdr:rowOff>73435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00000000-0008-0000-0800-000069000000}"/>
                </a:ext>
              </a:extLst>
            </xdr:cNvPr>
            <xdr:cNvSpPr txBox="1"/>
          </xdr:nvSpPr>
          <xdr:spPr>
            <a:xfrm>
              <a:off x="11909490" y="6544387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AC819B79-DAB2-8946-94BD-B3E480A92C68}"/>
                </a:ext>
              </a:extLst>
            </xdr:cNvPr>
            <xdr:cNvSpPr txBox="1"/>
          </xdr:nvSpPr>
          <xdr:spPr>
            <a:xfrm>
              <a:off x="11909490" y="6544387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61</xdr:row>
      <xdr:rowOff>99353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00000000-0008-0000-0800-00006A000000}"/>
                </a:ext>
              </a:extLst>
            </xdr:cNvPr>
            <xdr:cNvSpPr txBox="1"/>
          </xdr:nvSpPr>
          <xdr:spPr>
            <a:xfrm>
              <a:off x="13239966" y="12648163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2F4FD384-90A4-5045-A49C-28DCD903EF75}"/>
                </a:ext>
              </a:extLst>
            </xdr:cNvPr>
            <xdr:cNvSpPr txBox="1"/>
          </xdr:nvSpPr>
          <xdr:spPr>
            <a:xfrm>
              <a:off x="13239966" y="12648163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17279</xdr:colOff>
      <xdr:row>61</xdr:row>
      <xdr:rowOff>86395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00000000-0008-0000-0800-00006B000000}"/>
                </a:ext>
              </a:extLst>
            </xdr:cNvPr>
            <xdr:cNvSpPr txBox="1"/>
          </xdr:nvSpPr>
          <xdr:spPr>
            <a:xfrm>
              <a:off x="10052007" y="1263520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C559C428-C3C3-284F-AC9E-088088624FA8}"/>
                </a:ext>
              </a:extLst>
            </xdr:cNvPr>
            <xdr:cNvSpPr txBox="1"/>
          </xdr:nvSpPr>
          <xdr:spPr>
            <a:xfrm>
              <a:off x="10052007" y="1263520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32</xdr:row>
      <xdr:rowOff>90714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00000000-0008-0000-0800-00006C000000}"/>
                </a:ext>
              </a:extLst>
            </xdr:cNvPr>
            <xdr:cNvSpPr txBox="1"/>
          </xdr:nvSpPr>
          <xdr:spPr>
            <a:xfrm>
              <a:off x="9637313" y="6561666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E0A7FECA-1B6E-9047-8AFA-502A99F41FBE}"/>
                </a:ext>
              </a:extLst>
            </xdr:cNvPr>
            <xdr:cNvSpPr txBox="1"/>
          </xdr:nvSpPr>
          <xdr:spPr>
            <a:xfrm>
              <a:off x="9637313" y="6561666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552925</xdr:colOff>
      <xdr:row>90</xdr:row>
      <xdr:rowOff>82075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00000000-0008-0000-0800-00006D000000}"/>
                </a:ext>
              </a:extLst>
            </xdr:cNvPr>
            <xdr:cNvSpPr txBox="1"/>
          </xdr:nvSpPr>
          <xdr:spPr>
            <a:xfrm>
              <a:off x="11905170" y="1874761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062CCF5E-36FD-F740-826E-E04B3B8178BB}"/>
                </a:ext>
              </a:extLst>
            </xdr:cNvPr>
            <xdr:cNvSpPr txBox="1"/>
          </xdr:nvSpPr>
          <xdr:spPr>
            <a:xfrm>
              <a:off x="11905170" y="1874761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90</xdr:row>
      <xdr:rowOff>73435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00000000-0008-0000-0800-00006E000000}"/>
                </a:ext>
              </a:extLst>
            </xdr:cNvPr>
            <xdr:cNvSpPr txBox="1"/>
          </xdr:nvSpPr>
          <xdr:spPr>
            <a:xfrm>
              <a:off x="9982891" y="1873897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DE7CB64A-8315-4644-BF9C-6E65B3D5E950}"/>
                </a:ext>
              </a:extLst>
            </xdr:cNvPr>
            <xdr:cNvSpPr txBox="1"/>
          </xdr:nvSpPr>
          <xdr:spPr>
            <a:xfrm>
              <a:off x="9982891" y="18738979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3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8">
              <a:extLst>
                <a:ext uri="{FF2B5EF4-FFF2-40B4-BE49-F238E27FC236}">
                  <a16:creationId xmlns:a16="http://schemas.microsoft.com/office/drawing/2014/main" id="{00000000-0008-0000-0800-000068000000}"/>
                </a:ext>
              </a:extLst>
            </xdr:cNvPr>
            <xdr:cNvSpPr txBox="1"/>
          </xdr:nvSpPr>
          <xdr:spPr>
            <a:xfrm>
              <a:off x="2660461" y="464635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4" name="CuadroTexto 8">
              <a:extLst>
                <a:ext uri="{FF2B5EF4-FFF2-40B4-BE49-F238E27FC236}">
                  <a16:creationId xmlns:a16="http://schemas.microsoft.com/office/drawing/2014/main" id="{B2DF94E0-C5CF-5D4D-A436-51EDB5665290}"/>
                </a:ext>
              </a:extLst>
            </xdr:cNvPr>
            <xdr:cNvSpPr txBox="1"/>
          </xdr:nvSpPr>
          <xdr:spPr>
            <a:xfrm>
              <a:off x="2660461" y="464635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3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00000000-0008-0000-0800-00006F000000}"/>
                </a:ext>
              </a:extLst>
            </xdr:cNvPr>
            <xdr:cNvSpPr txBox="1"/>
          </xdr:nvSpPr>
          <xdr:spPr>
            <a:xfrm>
              <a:off x="870759" y="50593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ADB9B64F-D415-A14E-BB7E-0EB7084AF776}"/>
                </a:ext>
              </a:extLst>
            </xdr:cNvPr>
            <xdr:cNvSpPr txBox="1"/>
          </xdr:nvSpPr>
          <xdr:spPr>
            <a:xfrm>
              <a:off x="870759" y="50593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3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8">
              <a:extLst>
                <a:ext uri="{FF2B5EF4-FFF2-40B4-BE49-F238E27FC236}">
                  <a16:creationId xmlns:a16="http://schemas.microsoft.com/office/drawing/2014/main" id="{00000000-0008-0000-0800-000070000000}"/>
                </a:ext>
              </a:extLst>
            </xdr:cNvPr>
            <xdr:cNvSpPr txBox="1"/>
          </xdr:nvSpPr>
          <xdr:spPr>
            <a:xfrm>
              <a:off x="3606937" y="492169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2" name="CuadroTexto 8">
              <a:extLst>
                <a:ext uri="{FF2B5EF4-FFF2-40B4-BE49-F238E27FC236}">
                  <a16:creationId xmlns:a16="http://schemas.microsoft.com/office/drawing/2014/main" id="{EA7C50B1-6AEC-964A-B387-3CA96E7DEB78}"/>
                </a:ext>
              </a:extLst>
            </xdr:cNvPr>
            <xdr:cNvSpPr txBox="1"/>
          </xdr:nvSpPr>
          <xdr:spPr>
            <a:xfrm>
              <a:off x="3606937" y="492169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32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00000000-0008-0000-0800-000071000000}"/>
                </a:ext>
              </a:extLst>
            </xdr:cNvPr>
            <xdr:cNvSpPr txBox="1"/>
          </xdr:nvSpPr>
          <xdr:spPr>
            <a:xfrm>
              <a:off x="4384562" y="475384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6325E675-3FF5-2446-980D-4FFD2C7D086D}"/>
                </a:ext>
              </a:extLst>
            </xdr:cNvPr>
            <xdr:cNvSpPr txBox="1"/>
          </xdr:nvSpPr>
          <xdr:spPr>
            <a:xfrm>
              <a:off x="4384562" y="475384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32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8">
              <a:extLst>
                <a:ext uri="{FF2B5EF4-FFF2-40B4-BE49-F238E27FC236}">
                  <a16:creationId xmlns:a16="http://schemas.microsoft.com/office/drawing/2014/main" id="{00000000-0008-0000-0800-000072000000}"/>
                </a:ext>
              </a:extLst>
            </xdr:cNvPr>
            <xdr:cNvSpPr txBox="1"/>
          </xdr:nvSpPr>
          <xdr:spPr>
            <a:xfrm>
              <a:off x="1855799" y="486430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4" name="CuadroTexto 8">
              <a:extLst>
                <a:ext uri="{FF2B5EF4-FFF2-40B4-BE49-F238E27FC236}">
                  <a16:creationId xmlns:a16="http://schemas.microsoft.com/office/drawing/2014/main" id="{72EAE93A-2B26-A445-B85E-F1605F5A7816}"/>
                </a:ext>
              </a:extLst>
            </xdr:cNvPr>
            <xdr:cNvSpPr txBox="1"/>
          </xdr:nvSpPr>
          <xdr:spPr>
            <a:xfrm>
              <a:off x="1855799" y="486430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32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8">
              <a:extLst>
                <a:ext uri="{FF2B5EF4-FFF2-40B4-BE49-F238E27FC236}">
                  <a16:creationId xmlns:a16="http://schemas.microsoft.com/office/drawing/2014/main" id="{00000000-0008-0000-0800-000073000000}"/>
                </a:ext>
              </a:extLst>
            </xdr:cNvPr>
            <xdr:cNvSpPr txBox="1"/>
          </xdr:nvSpPr>
          <xdr:spPr>
            <a:xfrm>
              <a:off x="2668369" y="472836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5" name="CuadroTexto 8">
              <a:extLst>
                <a:ext uri="{FF2B5EF4-FFF2-40B4-BE49-F238E27FC236}">
                  <a16:creationId xmlns:a16="http://schemas.microsoft.com/office/drawing/2014/main" id="{2DD60316-C6B7-CF4F-9350-AA94F48BEB3D}"/>
                </a:ext>
              </a:extLst>
            </xdr:cNvPr>
            <xdr:cNvSpPr txBox="1"/>
          </xdr:nvSpPr>
          <xdr:spPr>
            <a:xfrm>
              <a:off x="2668369" y="472836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32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00000000-0008-0000-0800-000074000000}"/>
                </a:ext>
              </a:extLst>
            </xdr:cNvPr>
            <xdr:cNvSpPr txBox="1"/>
          </xdr:nvSpPr>
          <xdr:spPr>
            <a:xfrm>
              <a:off x="873395" y="514136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09685AA8-713D-2344-80DA-341044AA0077}"/>
                </a:ext>
              </a:extLst>
            </xdr:cNvPr>
            <xdr:cNvSpPr txBox="1"/>
          </xdr:nvSpPr>
          <xdr:spPr>
            <a:xfrm>
              <a:off x="873395" y="514136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32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8">
              <a:extLst>
                <a:ext uri="{FF2B5EF4-FFF2-40B4-BE49-F238E27FC236}">
                  <a16:creationId xmlns:a16="http://schemas.microsoft.com/office/drawing/2014/main" id="{00000000-0008-0000-0800-000075000000}"/>
                </a:ext>
              </a:extLst>
            </xdr:cNvPr>
            <xdr:cNvSpPr txBox="1"/>
          </xdr:nvSpPr>
          <xdr:spPr>
            <a:xfrm>
              <a:off x="3617482" y="500370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7" name="CuadroTexto 8">
              <a:extLst>
                <a:ext uri="{FF2B5EF4-FFF2-40B4-BE49-F238E27FC236}">
                  <a16:creationId xmlns:a16="http://schemas.microsoft.com/office/drawing/2014/main" id="{AECF0B85-61D5-3847-B0EE-6413CB68DF25}"/>
                </a:ext>
              </a:extLst>
            </xdr:cNvPr>
            <xdr:cNvSpPr txBox="1"/>
          </xdr:nvSpPr>
          <xdr:spPr>
            <a:xfrm>
              <a:off x="3617482" y="500370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61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00000000-0008-0000-0800-000076000000}"/>
                </a:ext>
              </a:extLst>
            </xdr:cNvPr>
            <xdr:cNvSpPr txBox="1"/>
          </xdr:nvSpPr>
          <xdr:spPr>
            <a:xfrm>
              <a:off x="4384562" y="6654249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8" name="CuadroTexto 5">
              <a:extLst>
                <a:ext uri="{FF2B5EF4-FFF2-40B4-BE49-F238E27FC236}">
                  <a16:creationId xmlns:a16="http://schemas.microsoft.com/office/drawing/2014/main" id="{2932E310-DDEC-E44B-BB6E-B3C19F7E6B19}"/>
                </a:ext>
              </a:extLst>
            </xdr:cNvPr>
            <xdr:cNvSpPr txBox="1"/>
          </xdr:nvSpPr>
          <xdr:spPr>
            <a:xfrm>
              <a:off x="4384562" y="6654249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61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8">
              <a:extLst>
                <a:ext uri="{FF2B5EF4-FFF2-40B4-BE49-F238E27FC236}">
                  <a16:creationId xmlns:a16="http://schemas.microsoft.com/office/drawing/2014/main" id="{00000000-0008-0000-0800-000077000000}"/>
                </a:ext>
              </a:extLst>
            </xdr:cNvPr>
            <xdr:cNvSpPr txBox="1"/>
          </xdr:nvSpPr>
          <xdr:spPr>
            <a:xfrm>
              <a:off x="1855799" y="6665295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9" name="CuadroTexto 8">
              <a:extLst>
                <a:ext uri="{FF2B5EF4-FFF2-40B4-BE49-F238E27FC236}">
                  <a16:creationId xmlns:a16="http://schemas.microsoft.com/office/drawing/2014/main" id="{E3E1414C-4B54-F743-918B-3530F0719D23}"/>
                </a:ext>
              </a:extLst>
            </xdr:cNvPr>
            <xdr:cNvSpPr txBox="1"/>
          </xdr:nvSpPr>
          <xdr:spPr>
            <a:xfrm>
              <a:off x="1855799" y="6665295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61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8">
              <a:extLst>
                <a:ext uri="{FF2B5EF4-FFF2-40B4-BE49-F238E27FC236}">
                  <a16:creationId xmlns:a16="http://schemas.microsoft.com/office/drawing/2014/main" id="{00000000-0008-0000-0800-000078000000}"/>
                </a:ext>
              </a:extLst>
            </xdr:cNvPr>
            <xdr:cNvSpPr txBox="1"/>
          </xdr:nvSpPr>
          <xdr:spPr>
            <a:xfrm>
              <a:off x="2668369" y="6651701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0" name="CuadroTexto 8">
              <a:extLst>
                <a:ext uri="{FF2B5EF4-FFF2-40B4-BE49-F238E27FC236}">
                  <a16:creationId xmlns:a16="http://schemas.microsoft.com/office/drawing/2014/main" id="{A8DB1C09-5D30-344E-83B3-24893274A2A1}"/>
                </a:ext>
              </a:extLst>
            </xdr:cNvPr>
            <xdr:cNvSpPr txBox="1"/>
          </xdr:nvSpPr>
          <xdr:spPr>
            <a:xfrm>
              <a:off x="2668369" y="6651701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61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00000000-0008-0000-0800-000079000000}"/>
                </a:ext>
              </a:extLst>
            </xdr:cNvPr>
            <xdr:cNvSpPr txBox="1"/>
          </xdr:nvSpPr>
          <xdr:spPr>
            <a:xfrm>
              <a:off x="873395" y="6693001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1" name="CuadroTexto 5">
              <a:extLst>
                <a:ext uri="{FF2B5EF4-FFF2-40B4-BE49-F238E27FC236}">
                  <a16:creationId xmlns:a16="http://schemas.microsoft.com/office/drawing/2014/main" id="{837063E7-D851-624D-81B5-574489953852}"/>
                </a:ext>
              </a:extLst>
            </xdr:cNvPr>
            <xdr:cNvSpPr txBox="1"/>
          </xdr:nvSpPr>
          <xdr:spPr>
            <a:xfrm>
              <a:off x="873395" y="6693001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61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8">
              <a:extLst>
                <a:ext uri="{FF2B5EF4-FFF2-40B4-BE49-F238E27FC236}">
                  <a16:creationId xmlns:a16="http://schemas.microsoft.com/office/drawing/2014/main" id="{00000000-0008-0000-0800-00007A000000}"/>
                </a:ext>
              </a:extLst>
            </xdr:cNvPr>
            <xdr:cNvSpPr txBox="1"/>
          </xdr:nvSpPr>
          <xdr:spPr>
            <a:xfrm>
              <a:off x="3617482" y="667923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2" name="CuadroTexto 8">
              <a:extLst>
                <a:ext uri="{FF2B5EF4-FFF2-40B4-BE49-F238E27FC236}">
                  <a16:creationId xmlns:a16="http://schemas.microsoft.com/office/drawing/2014/main" id="{00E28261-22E9-F04E-9A2C-5BC3F27C8346}"/>
                </a:ext>
              </a:extLst>
            </xdr:cNvPr>
            <xdr:cNvSpPr txBox="1"/>
          </xdr:nvSpPr>
          <xdr:spPr>
            <a:xfrm>
              <a:off x="3617482" y="667923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89</xdr:row>
      <xdr:rowOff>146997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5">
              <a:extLst>
                <a:ext uri="{FF2B5EF4-FFF2-40B4-BE49-F238E27FC236}">
                  <a16:creationId xmlns:a16="http://schemas.microsoft.com/office/drawing/2014/main" id="{00000000-0008-0000-0800-00007B000000}"/>
                </a:ext>
              </a:extLst>
            </xdr:cNvPr>
            <xdr:cNvSpPr txBox="1"/>
          </xdr:nvSpPr>
          <xdr:spPr>
            <a:xfrm>
              <a:off x="4347315" y="18394892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3" name="CuadroTexto 5">
              <a:extLst>
                <a:ext uri="{FF2B5EF4-FFF2-40B4-BE49-F238E27FC236}">
                  <a16:creationId xmlns:a16="http://schemas.microsoft.com/office/drawing/2014/main" id="{39659A4C-1785-A144-9B8A-461FAFA09746}"/>
                </a:ext>
              </a:extLst>
            </xdr:cNvPr>
            <xdr:cNvSpPr txBox="1"/>
          </xdr:nvSpPr>
          <xdr:spPr>
            <a:xfrm>
              <a:off x="4347315" y="18394892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90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8">
              <a:extLst>
                <a:ext uri="{FF2B5EF4-FFF2-40B4-BE49-F238E27FC236}">
                  <a16:creationId xmlns:a16="http://schemas.microsoft.com/office/drawing/2014/main" id="{00000000-0008-0000-0800-00007C000000}"/>
                </a:ext>
              </a:extLst>
            </xdr:cNvPr>
            <xdr:cNvSpPr txBox="1"/>
          </xdr:nvSpPr>
          <xdr:spPr>
            <a:xfrm>
              <a:off x="1855799" y="12862175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4" name="CuadroTexto 8">
              <a:extLst>
                <a:ext uri="{FF2B5EF4-FFF2-40B4-BE49-F238E27FC236}">
                  <a16:creationId xmlns:a16="http://schemas.microsoft.com/office/drawing/2014/main" id="{32887482-1276-484D-91D2-42D58D1ADD08}"/>
                </a:ext>
              </a:extLst>
            </xdr:cNvPr>
            <xdr:cNvSpPr txBox="1"/>
          </xdr:nvSpPr>
          <xdr:spPr>
            <a:xfrm>
              <a:off x="1855799" y="12862175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90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8">
              <a:extLst>
                <a:ext uri="{FF2B5EF4-FFF2-40B4-BE49-F238E27FC236}">
                  <a16:creationId xmlns:a16="http://schemas.microsoft.com/office/drawing/2014/main" id="{00000000-0008-0000-0800-00007D000000}"/>
                </a:ext>
              </a:extLst>
            </xdr:cNvPr>
            <xdr:cNvSpPr txBox="1"/>
          </xdr:nvSpPr>
          <xdr:spPr>
            <a:xfrm>
              <a:off x="2668369" y="12848581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5" name="CuadroTexto 8">
              <a:extLst>
                <a:ext uri="{FF2B5EF4-FFF2-40B4-BE49-F238E27FC236}">
                  <a16:creationId xmlns:a16="http://schemas.microsoft.com/office/drawing/2014/main" id="{3EEF85EA-6281-C24F-8494-167A0D48533B}"/>
                </a:ext>
              </a:extLst>
            </xdr:cNvPr>
            <xdr:cNvSpPr txBox="1"/>
          </xdr:nvSpPr>
          <xdr:spPr>
            <a:xfrm>
              <a:off x="2668369" y="12848581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90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5">
              <a:extLst>
                <a:ext uri="{FF2B5EF4-FFF2-40B4-BE49-F238E27FC236}">
                  <a16:creationId xmlns:a16="http://schemas.microsoft.com/office/drawing/2014/main" id="{00000000-0008-0000-0800-00007E000000}"/>
                </a:ext>
              </a:extLst>
            </xdr:cNvPr>
            <xdr:cNvSpPr txBox="1"/>
          </xdr:nvSpPr>
          <xdr:spPr>
            <a:xfrm>
              <a:off x="873395" y="12889881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6" name="CuadroTexto 5">
              <a:extLst>
                <a:ext uri="{FF2B5EF4-FFF2-40B4-BE49-F238E27FC236}">
                  <a16:creationId xmlns:a16="http://schemas.microsoft.com/office/drawing/2014/main" id="{6127225B-541B-4344-8AA6-4135584486D1}"/>
                </a:ext>
              </a:extLst>
            </xdr:cNvPr>
            <xdr:cNvSpPr txBox="1"/>
          </xdr:nvSpPr>
          <xdr:spPr>
            <a:xfrm>
              <a:off x="873395" y="12889881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90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CuadroTexto 8">
              <a:extLst>
                <a:ext uri="{FF2B5EF4-FFF2-40B4-BE49-F238E27FC236}">
                  <a16:creationId xmlns:a16="http://schemas.microsoft.com/office/drawing/2014/main" id="{00000000-0008-0000-0800-00007F000000}"/>
                </a:ext>
              </a:extLst>
            </xdr:cNvPr>
            <xdr:cNvSpPr txBox="1"/>
          </xdr:nvSpPr>
          <xdr:spPr>
            <a:xfrm>
              <a:off x="3617482" y="1287611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7" name="CuadroTexto 8">
              <a:extLst>
                <a:ext uri="{FF2B5EF4-FFF2-40B4-BE49-F238E27FC236}">
                  <a16:creationId xmlns:a16="http://schemas.microsoft.com/office/drawing/2014/main" id="{54859B53-AB4A-2E48-94A9-2EECEBB34111}"/>
                </a:ext>
              </a:extLst>
            </xdr:cNvPr>
            <xdr:cNvSpPr txBox="1"/>
          </xdr:nvSpPr>
          <xdr:spPr>
            <a:xfrm>
              <a:off x="3617482" y="12876115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120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CuadroTexto 5">
              <a:extLst>
                <a:ext uri="{FF2B5EF4-FFF2-40B4-BE49-F238E27FC236}">
                  <a16:creationId xmlns:a16="http://schemas.microsoft.com/office/drawing/2014/main" id="{00000000-0008-0000-0800-000080000000}"/>
                </a:ext>
              </a:extLst>
            </xdr:cNvPr>
            <xdr:cNvSpPr txBox="1"/>
          </xdr:nvSpPr>
          <xdr:spPr>
            <a:xfrm>
              <a:off x="4384562" y="19084037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8" name="CuadroTexto 5">
              <a:extLst>
                <a:ext uri="{FF2B5EF4-FFF2-40B4-BE49-F238E27FC236}">
                  <a16:creationId xmlns:a16="http://schemas.microsoft.com/office/drawing/2014/main" id="{1061B7E9-7290-CD47-91FD-4D3126BD8BD3}"/>
                </a:ext>
              </a:extLst>
            </xdr:cNvPr>
            <xdr:cNvSpPr txBox="1"/>
          </xdr:nvSpPr>
          <xdr:spPr>
            <a:xfrm>
              <a:off x="4384562" y="19084037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120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CuadroTexto 8">
              <a:extLst>
                <a:ext uri="{FF2B5EF4-FFF2-40B4-BE49-F238E27FC236}">
                  <a16:creationId xmlns:a16="http://schemas.microsoft.com/office/drawing/2014/main" id="{00000000-0008-0000-0800-000081000000}"/>
                </a:ext>
              </a:extLst>
            </xdr:cNvPr>
            <xdr:cNvSpPr txBox="1"/>
          </xdr:nvSpPr>
          <xdr:spPr>
            <a:xfrm>
              <a:off x="1855799" y="19095083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9" name="CuadroTexto 8">
              <a:extLst>
                <a:ext uri="{FF2B5EF4-FFF2-40B4-BE49-F238E27FC236}">
                  <a16:creationId xmlns:a16="http://schemas.microsoft.com/office/drawing/2014/main" id="{6FC48427-A7C8-704C-8DBC-8128FDD3CF32}"/>
                </a:ext>
              </a:extLst>
            </xdr:cNvPr>
            <xdr:cNvSpPr txBox="1"/>
          </xdr:nvSpPr>
          <xdr:spPr>
            <a:xfrm>
              <a:off x="1855799" y="19095083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120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8">
              <a:extLst>
                <a:ext uri="{FF2B5EF4-FFF2-40B4-BE49-F238E27FC236}">
                  <a16:creationId xmlns:a16="http://schemas.microsoft.com/office/drawing/2014/main" id="{00000000-0008-0000-0800-000082000000}"/>
                </a:ext>
              </a:extLst>
            </xdr:cNvPr>
            <xdr:cNvSpPr txBox="1"/>
          </xdr:nvSpPr>
          <xdr:spPr>
            <a:xfrm>
              <a:off x="2668369" y="19081489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0" name="CuadroTexto 8">
              <a:extLst>
                <a:ext uri="{FF2B5EF4-FFF2-40B4-BE49-F238E27FC236}">
                  <a16:creationId xmlns:a16="http://schemas.microsoft.com/office/drawing/2014/main" id="{E659E939-76C7-9D4D-B20C-FFDEA7098E61}"/>
                </a:ext>
              </a:extLst>
            </xdr:cNvPr>
            <xdr:cNvSpPr txBox="1"/>
          </xdr:nvSpPr>
          <xdr:spPr>
            <a:xfrm>
              <a:off x="2668369" y="19081489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120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CuadroTexto 5">
              <a:extLst>
                <a:ext uri="{FF2B5EF4-FFF2-40B4-BE49-F238E27FC236}">
                  <a16:creationId xmlns:a16="http://schemas.microsoft.com/office/drawing/2014/main" id="{00000000-0008-0000-0800-000083000000}"/>
                </a:ext>
              </a:extLst>
            </xdr:cNvPr>
            <xdr:cNvSpPr txBox="1"/>
          </xdr:nvSpPr>
          <xdr:spPr>
            <a:xfrm>
              <a:off x="873395" y="191227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31" name="CuadroTexto 5">
              <a:extLst>
                <a:ext uri="{FF2B5EF4-FFF2-40B4-BE49-F238E27FC236}">
                  <a16:creationId xmlns:a16="http://schemas.microsoft.com/office/drawing/2014/main" id="{3A43EFA0-2026-B14C-ACA3-EDD5176FF322}"/>
                </a:ext>
              </a:extLst>
            </xdr:cNvPr>
            <xdr:cNvSpPr txBox="1"/>
          </xdr:nvSpPr>
          <xdr:spPr>
            <a:xfrm>
              <a:off x="873395" y="191227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120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CuadroTexto 8">
              <a:extLst>
                <a:ext uri="{FF2B5EF4-FFF2-40B4-BE49-F238E27FC236}">
                  <a16:creationId xmlns:a16="http://schemas.microsoft.com/office/drawing/2014/main" id="{00000000-0008-0000-0800-000084000000}"/>
                </a:ext>
              </a:extLst>
            </xdr:cNvPr>
            <xdr:cNvSpPr txBox="1"/>
          </xdr:nvSpPr>
          <xdr:spPr>
            <a:xfrm>
              <a:off x="3617482" y="1910902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2" name="CuadroTexto 8">
              <a:extLst>
                <a:ext uri="{FF2B5EF4-FFF2-40B4-BE49-F238E27FC236}">
                  <a16:creationId xmlns:a16="http://schemas.microsoft.com/office/drawing/2014/main" id="{ADCC5F3D-7570-4548-9E28-CF6424CB71A8}"/>
                </a:ext>
              </a:extLst>
            </xdr:cNvPr>
            <xdr:cNvSpPr txBox="1"/>
          </xdr:nvSpPr>
          <xdr:spPr>
            <a:xfrm>
              <a:off x="3617482" y="19109023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27</xdr:col>
      <xdr:colOff>0</xdr:colOff>
      <xdr:row>2</xdr:row>
      <xdr:rowOff>0</xdr:rowOff>
    </xdr:from>
    <xdr:to>
      <xdr:col>41</xdr:col>
      <xdr:colOff>749300</xdr:colOff>
      <xdr:row>25</xdr:row>
      <xdr:rowOff>127000</xdr:rowOff>
    </xdr:to>
    <xdr:graphicFrame macro="">
      <xdr:nvGraphicFramePr>
        <xdr:cNvPr id="133" name="Gráfico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0.41401</cdr:x>
      <cdr:y>0.48084</cdr:y>
    </cdr:from>
    <cdr:to>
      <cdr:x>0.45325</cdr:x>
      <cdr:y>0.59923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31E1BA7-F266-F43C-277D-A0EC9C47C0F9}"/>
            </a:ext>
          </a:extLst>
        </cdr:cNvPr>
        <cdr:cNvCxnSpPr/>
      </cdr:nvCxnSpPr>
      <cdr:spPr>
        <a:xfrm xmlns:a="http://schemas.openxmlformats.org/drawingml/2006/main">
          <a:off x="5109705" y="2404175"/>
          <a:ext cx="484322" cy="5919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0.40438</cdr:x>
      <cdr:y>0.45508</cdr:y>
    </cdr:from>
    <cdr:to>
      <cdr:x>0.42696</cdr:x>
      <cdr:y>0.50039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D3537448-62FA-E766-98DC-7B22870E7E78}"/>
            </a:ext>
          </a:extLst>
        </cdr:cNvPr>
        <cdr:cNvSpPr/>
      </cdr:nvSpPr>
      <cdr:spPr>
        <a:xfrm xmlns:a="http://schemas.openxmlformats.org/drawingml/2006/main">
          <a:off x="4990885" y="2275355"/>
          <a:ext cx="278668" cy="226557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0.41314</cdr:x>
      <cdr:y>0.37799</cdr:y>
    </cdr:from>
    <cdr:to>
      <cdr:x>0.45238</cdr:x>
      <cdr:y>0.49566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F8D11D2-8762-EBEB-48AD-69ECB1521B63}"/>
            </a:ext>
          </a:extLst>
        </cdr:cNvPr>
        <cdr:cNvCxnSpPr/>
      </cdr:nvCxnSpPr>
      <cdr:spPr>
        <a:xfrm xmlns:a="http://schemas.openxmlformats.org/drawingml/2006/main">
          <a:off x="5098942" y="1901654"/>
          <a:ext cx="484322" cy="5919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0.40351</cdr:x>
      <cdr:y>0.35239</cdr:y>
    </cdr:from>
    <cdr:to>
      <cdr:x>0.42609</cdr:x>
      <cdr:y>0.39742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0C2B8756-0834-BDA9-EF3A-FCF1D0269554}"/>
            </a:ext>
          </a:extLst>
        </cdr:cNvPr>
        <cdr:cNvSpPr/>
      </cdr:nvSpPr>
      <cdr:spPr>
        <a:xfrm xmlns:a="http://schemas.openxmlformats.org/drawingml/2006/main">
          <a:off x="4980122" y="1772834"/>
          <a:ext cx="278668" cy="226557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0.41381</cdr:x>
      <cdr:y>0.32574</cdr:y>
    </cdr:from>
    <cdr:to>
      <cdr:x>0.45304</cdr:x>
      <cdr:y>0.44452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578F2ECC-25A7-B29C-EE15-370EE81AB2EE}"/>
            </a:ext>
          </a:extLst>
        </cdr:cNvPr>
        <cdr:cNvCxnSpPr/>
      </cdr:nvCxnSpPr>
      <cdr:spPr>
        <a:xfrm xmlns:a="http://schemas.openxmlformats.org/drawingml/2006/main">
          <a:off x="5087260" y="1617540"/>
          <a:ext cx="482239" cy="5897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0.39748</cdr:x>
      <cdr:y>0.2935</cdr:y>
    </cdr:from>
    <cdr:to>
      <cdr:x>0.42005</cdr:x>
      <cdr:y>0.33896</cdr:y>
    </cdr:to>
    <cdr:sp macro="" textlink="">
      <cdr:nvSpPr>
        <cdr:cNvPr id="9" name="Estrella de 5 puntas 8">
          <a:extLst xmlns:a="http://schemas.openxmlformats.org/drawingml/2006/main">
            <a:ext uri="{FF2B5EF4-FFF2-40B4-BE49-F238E27FC236}">
              <a16:creationId xmlns:a16="http://schemas.microsoft.com/office/drawing/2014/main" id="{1B1AC2FB-169D-0FCD-B7EC-72CFB9C9EA15}"/>
            </a:ext>
          </a:extLst>
        </cdr:cNvPr>
        <cdr:cNvSpPr/>
      </cdr:nvSpPr>
      <cdr:spPr>
        <a:xfrm xmlns:a="http://schemas.openxmlformats.org/drawingml/2006/main">
          <a:off x="4886402" y="1457438"/>
          <a:ext cx="277470" cy="22573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0.4532</cdr:x>
      <cdr:y>0.21308</cdr:y>
    </cdr:from>
    <cdr:to>
      <cdr:x>0.49897</cdr:x>
      <cdr:y>0.33206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04280600-9E2D-53B9-0C80-795FD71AEBE2}"/>
            </a:ext>
          </a:extLst>
        </cdr:cNvPr>
        <cdr:cNvCxnSpPr/>
      </cdr:nvCxnSpPr>
      <cdr:spPr>
        <a:xfrm xmlns:a="http://schemas.openxmlformats.org/drawingml/2006/main" flipH="1" flipV="1">
          <a:off x="5571503" y="1063487"/>
          <a:ext cx="562597" cy="5938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0.4932</cdr:x>
      <cdr:y>0.31735</cdr:y>
    </cdr:from>
    <cdr:to>
      <cdr:x>0.51577</cdr:x>
      <cdr:y>0.36256</cdr:y>
    </cdr:to>
    <cdr:sp macro="" textlink="">
      <cdr:nvSpPr>
        <cdr:cNvPr id="8" name="Estrella de 5 puntas 7">
          <a:extLst xmlns:a="http://schemas.openxmlformats.org/drawingml/2006/main">
            <a:ext uri="{FF2B5EF4-FFF2-40B4-BE49-F238E27FC236}">
              <a16:creationId xmlns:a16="http://schemas.microsoft.com/office/drawing/2014/main" id="{D8E774B3-0531-460E-7435-A96C3C28ACCD}"/>
            </a:ext>
          </a:extLst>
        </cdr:cNvPr>
        <cdr:cNvSpPr/>
      </cdr:nvSpPr>
      <cdr:spPr>
        <a:xfrm xmlns:a="http://schemas.openxmlformats.org/drawingml/2006/main">
          <a:off x="6063157" y="1583943"/>
          <a:ext cx="277469" cy="22562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0.41164</cdr:x>
      <cdr:y>0.24742</cdr:y>
    </cdr:from>
    <cdr:to>
      <cdr:x>0.45088</cdr:x>
      <cdr:y>0.36581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31E1BA7-F266-F43C-277D-A0EC9C47C0F9}"/>
            </a:ext>
          </a:extLst>
        </cdr:cNvPr>
        <cdr:cNvCxnSpPr/>
      </cdr:nvCxnSpPr>
      <cdr:spPr>
        <a:xfrm xmlns:a="http://schemas.openxmlformats.org/drawingml/2006/main">
          <a:off x="5057418" y="1233159"/>
          <a:ext cx="482101" cy="5900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0.39807</cdr:x>
      <cdr:y>0.21777</cdr:y>
    </cdr:from>
    <cdr:to>
      <cdr:x>0.42065</cdr:x>
      <cdr:y>0.26308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D3537448-62FA-E766-98DC-7B22870E7E78}"/>
            </a:ext>
          </a:extLst>
        </cdr:cNvPr>
        <cdr:cNvSpPr/>
      </cdr:nvSpPr>
      <cdr:spPr>
        <a:xfrm xmlns:a="http://schemas.openxmlformats.org/drawingml/2006/main">
          <a:off x="4890632" y="1085381"/>
          <a:ext cx="277416" cy="22582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808183</xdr:colOff>
      <xdr:row>38</xdr:row>
      <xdr:rowOff>184728</xdr:rowOff>
    </xdr:from>
    <xdr:to>
      <xdr:col>25</xdr:col>
      <xdr:colOff>581745</xdr:colOff>
      <xdr:row>68</xdr:row>
      <xdr:rowOff>35792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5638" y="10367819"/>
          <a:ext cx="6423744" cy="6085609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38</xdr:row>
      <xdr:rowOff>177800</xdr:rowOff>
    </xdr:from>
    <xdr:to>
      <xdr:col>16</xdr:col>
      <xdr:colOff>304800</xdr:colOff>
      <xdr:row>63</xdr:row>
      <xdr:rowOff>109691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0.17739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32555" y="4529976"/>
          <a:ext cx="1468718" cy="291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50                                                                                                                                                                                    63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                                                                                                                                                      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</a:t>
          </a:r>
          <a:endParaRPr lang="es-ES_tradnl" sz="900" b="0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735814</xdr:colOff>
      <xdr:row>3</xdr:row>
      <xdr:rowOff>108945</xdr:rowOff>
    </xdr:from>
    <xdr:to>
      <xdr:col>32</xdr:col>
      <xdr:colOff>205775</xdr:colOff>
      <xdr:row>39</xdr:row>
      <xdr:rowOff>14578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4548" y="727869"/>
          <a:ext cx="10232809" cy="782800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20</xdr:col>
      <xdr:colOff>264160</xdr:colOff>
      <xdr:row>63</xdr:row>
      <xdr:rowOff>135090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91139</xdr:colOff>
      <xdr:row>3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">
              <a:extLst>
                <a:ext uri="{FF2B5EF4-FFF2-40B4-BE49-F238E27FC236}">
                  <a16:creationId xmlns:a16="http://schemas.microsoft.com/office/drawing/2014/main" id="{00000000-0008-0000-0B00-000031000000}"/>
                </a:ext>
              </a:extLst>
            </xdr:cNvPr>
            <xdr:cNvSpPr txBox="1"/>
          </xdr:nvSpPr>
          <xdr:spPr>
            <a:xfrm>
              <a:off x="3878048" y="713999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49" name="CuadroTexto 4">
              <a:extLst>
                <a:ext uri="{FF2B5EF4-FFF2-40B4-BE49-F238E27FC236}">
                  <a16:creationId xmlns:a16="http://schemas.microsoft.com/office/drawing/2014/main" id="{A68664F2-E410-6A4E-994C-E16D14019732}"/>
                </a:ext>
              </a:extLst>
            </xdr:cNvPr>
            <xdr:cNvSpPr txBox="1"/>
          </xdr:nvSpPr>
          <xdr:spPr>
            <a:xfrm>
              <a:off x="3878048" y="713999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81746</xdr:colOff>
      <xdr:row>3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00000000-0008-0000-0B00-000032000000}"/>
                </a:ext>
              </a:extLst>
            </xdr:cNvPr>
            <xdr:cNvSpPr txBox="1"/>
          </xdr:nvSpPr>
          <xdr:spPr>
            <a:xfrm>
              <a:off x="1790473" y="709337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92498124-1201-D943-9E16-1E15E99A46D4}"/>
                </a:ext>
              </a:extLst>
            </xdr:cNvPr>
            <xdr:cNvSpPr txBox="1"/>
          </xdr:nvSpPr>
          <xdr:spPr>
            <a:xfrm>
              <a:off x="1790473" y="709337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44932</xdr:colOff>
      <xdr:row>3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00000000-0008-0000-0B00-000033000000}"/>
                </a:ext>
              </a:extLst>
            </xdr:cNvPr>
            <xdr:cNvSpPr txBox="1"/>
          </xdr:nvSpPr>
          <xdr:spPr>
            <a:xfrm>
              <a:off x="991659" y="705961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2CAE69AE-0EED-7B47-8E14-BD77D37A21E6}"/>
                </a:ext>
              </a:extLst>
            </xdr:cNvPr>
            <xdr:cNvSpPr txBox="1"/>
          </xdr:nvSpPr>
          <xdr:spPr>
            <a:xfrm>
              <a:off x="991659" y="705961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8</xdr:col>
      <xdr:colOff>128607</xdr:colOff>
      <xdr:row>3</xdr:row>
      <xdr:rowOff>72517</xdr:rowOff>
    </xdr:from>
    <xdr:ext cx="647678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4">
              <a:extLst>
                <a:ext uri="{FF2B5EF4-FFF2-40B4-BE49-F238E27FC236}">
                  <a16:creationId xmlns:a16="http://schemas.microsoft.com/office/drawing/2014/main" id="{00000000-0008-0000-0B00-000034000000}"/>
                </a:ext>
              </a:extLst>
            </xdr:cNvPr>
            <xdr:cNvSpPr txBox="1"/>
          </xdr:nvSpPr>
          <xdr:spPr>
            <a:xfrm>
              <a:off x="4654425" y="707517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2" name="CuadroTexto 4">
              <a:extLst>
                <a:ext uri="{FF2B5EF4-FFF2-40B4-BE49-F238E27FC236}">
                  <a16:creationId xmlns:a16="http://schemas.microsoft.com/office/drawing/2014/main" id="{04DE4B29-E92E-6445-B3F3-B7DAF31661BB}"/>
                </a:ext>
              </a:extLst>
            </xdr:cNvPr>
            <xdr:cNvSpPr txBox="1"/>
          </xdr:nvSpPr>
          <xdr:spPr>
            <a:xfrm>
              <a:off x="4654425" y="707517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14</xdr:col>
      <xdr:colOff>91139</xdr:colOff>
      <xdr:row>3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4">
              <a:extLst>
                <a:ext uri="{FF2B5EF4-FFF2-40B4-BE49-F238E27FC236}">
                  <a16:creationId xmlns:a16="http://schemas.microsoft.com/office/drawing/2014/main" id="{00000000-0008-0000-0B00-000035000000}"/>
                </a:ext>
              </a:extLst>
            </xdr:cNvPr>
            <xdr:cNvSpPr txBox="1"/>
          </xdr:nvSpPr>
          <xdr:spPr>
            <a:xfrm>
              <a:off x="3432449" y="706439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3" name="CuadroTexto 4">
              <a:extLst>
                <a:ext uri="{FF2B5EF4-FFF2-40B4-BE49-F238E27FC236}">
                  <a16:creationId xmlns:a16="http://schemas.microsoft.com/office/drawing/2014/main" id="{4F1E2F08-6C2E-0343-BEBB-46DB55CDAD00}"/>
                </a:ext>
              </a:extLst>
            </xdr:cNvPr>
            <xdr:cNvSpPr txBox="1"/>
          </xdr:nvSpPr>
          <xdr:spPr>
            <a:xfrm>
              <a:off x="3432449" y="706439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81746</xdr:colOff>
      <xdr:row>3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00000000-0008-0000-0B00-000036000000}"/>
                </a:ext>
              </a:extLst>
            </xdr:cNvPr>
            <xdr:cNvSpPr txBox="1"/>
          </xdr:nvSpPr>
          <xdr:spPr>
            <a:xfrm>
              <a:off x="1797758" y="701777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4" name="CuadroTexto 5">
              <a:extLst>
                <a:ext uri="{FF2B5EF4-FFF2-40B4-BE49-F238E27FC236}">
                  <a16:creationId xmlns:a16="http://schemas.microsoft.com/office/drawing/2014/main" id="{00E72FCF-AFC9-C343-A1C9-9A8E335ED536}"/>
                </a:ext>
              </a:extLst>
            </xdr:cNvPr>
            <xdr:cNvSpPr txBox="1"/>
          </xdr:nvSpPr>
          <xdr:spPr>
            <a:xfrm>
              <a:off x="1797758" y="701777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11</xdr:col>
      <xdr:colOff>44932</xdr:colOff>
      <xdr:row>3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00000000-0008-0000-0B00-000037000000}"/>
                </a:ext>
              </a:extLst>
            </xdr:cNvPr>
            <xdr:cNvSpPr txBox="1"/>
          </xdr:nvSpPr>
          <xdr:spPr>
            <a:xfrm>
              <a:off x="997432" y="698401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A2E80141-3E6C-2E47-9E36-F4C7D037F5C9}"/>
                </a:ext>
              </a:extLst>
            </xdr:cNvPr>
            <xdr:cNvSpPr txBox="1"/>
          </xdr:nvSpPr>
          <xdr:spPr>
            <a:xfrm>
              <a:off x="997432" y="698401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17</xdr:col>
      <xdr:colOff>128607</xdr:colOff>
      <xdr:row>3</xdr:row>
      <xdr:rowOff>72517</xdr:rowOff>
    </xdr:from>
    <xdr:ext cx="651269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4">
              <a:extLst>
                <a:ext uri="{FF2B5EF4-FFF2-40B4-BE49-F238E27FC236}">
                  <a16:creationId xmlns:a16="http://schemas.microsoft.com/office/drawing/2014/main" id="{00000000-0008-0000-0B00-000038000000}"/>
                </a:ext>
              </a:extLst>
            </xdr:cNvPr>
            <xdr:cNvSpPr txBox="1"/>
          </xdr:nvSpPr>
          <xdr:spPr>
            <a:xfrm>
              <a:off x="10084500" y="699957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6" name="CuadroTexto 4">
              <a:extLst>
                <a:ext uri="{FF2B5EF4-FFF2-40B4-BE49-F238E27FC236}">
                  <a16:creationId xmlns:a16="http://schemas.microsoft.com/office/drawing/2014/main" id="{10D2170E-F994-EA49-ACA5-01970BCA1198}"/>
                </a:ext>
              </a:extLst>
            </xdr:cNvPr>
            <xdr:cNvSpPr txBox="1"/>
          </xdr:nvSpPr>
          <xdr:spPr>
            <a:xfrm>
              <a:off x="10084500" y="699957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91139</xdr:colOff>
      <xdr:row>10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4">
              <a:extLst>
                <a:ext uri="{FF2B5EF4-FFF2-40B4-BE49-F238E27FC236}">
                  <a16:creationId xmlns:a16="http://schemas.microsoft.com/office/drawing/2014/main" id="{00000000-0008-0000-0B00-000039000000}"/>
                </a:ext>
              </a:extLst>
            </xdr:cNvPr>
            <xdr:cNvSpPr txBox="1"/>
          </xdr:nvSpPr>
          <xdr:spPr>
            <a:xfrm>
              <a:off x="3427125" y="705055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57" name="CuadroTexto 4">
              <a:extLst>
                <a:ext uri="{FF2B5EF4-FFF2-40B4-BE49-F238E27FC236}">
                  <a16:creationId xmlns:a16="http://schemas.microsoft.com/office/drawing/2014/main" id="{963D2030-BF24-3B42-ACE4-307FDF1412D7}"/>
                </a:ext>
              </a:extLst>
            </xdr:cNvPr>
            <xdr:cNvSpPr txBox="1"/>
          </xdr:nvSpPr>
          <xdr:spPr>
            <a:xfrm>
              <a:off x="3427125" y="705055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81746</xdr:colOff>
      <xdr:row>10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00000000-0008-0000-0B00-00003A000000}"/>
                </a:ext>
              </a:extLst>
            </xdr:cNvPr>
            <xdr:cNvSpPr txBox="1"/>
          </xdr:nvSpPr>
          <xdr:spPr>
            <a:xfrm>
              <a:off x="1789985" y="70039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18399DE5-BFF6-3642-BD2C-DD33C4EC648B}"/>
                </a:ext>
              </a:extLst>
            </xdr:cNvPr>
            <xdr:cNvSpPr txBox="1"/>
          </xdr:nvSpPr>
          <xdr:spPr>
            <a:xfrm>
              <a:off x="1789985" y="70039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44932</xdr:colOff>
      <xdr:row>10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00000000-0008-0000-0B00-00003B000000}"/>
                </a:ext>
              </a:extLst>
            </xdr:cNvPr>
            <xdr:cNvSpPr txBox="1"/>
          </xdr:nvSpPr>
          <xdr:spPr>
            <a:xfrm>
              <a:off x="992960" y="697017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02040857-F8AE-2243-B181-21FA51B7CD91}"/>
                </a:ext>
              </a:extLst>
            </xdr:cNvPr>
            <xdr:cNvSpPr txBox="1"/>
          </xdr:nvSpPr>
          <xdr:spPr>
            <a:xfrm>
              <a:off x="992960" y="697017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8</xdr:col>
      <xdr:colOff>128607</xdr:colOff>
      <xdr:row>10</xdr:row>
      <xdr:rowOff>72517</xdr:rowOff>
    </xdr:from>
    <xdr:ext cx="647678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4">
              <a:extLst>
                <a:ext uri="{FF2B5EF4-FFF2-40B4-BE49-F238E27FC236}">
                  <a16:creationId xmlns:a16="http://schemas.microsoft.com/office/drawing/2014/main" id="{00000000-0008-0000-0B00-00003C000000}"/>
                </a:ext>
              </a:extLst>
            </xdr:cNvPr>
            <xdr:cNvSpPr txBox="1"/>
          </xdr:nvSpPr>
          <xdr:spPr>
            <a:xfrm>
              <a:off x="4197973" y="698573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0" name="CuadroTexto 4">
              <a:extLst>
                <a:ext uri="{FF2B5EF4-FFF2-40B4-BE49-F238E27FC236}">
                  <a16:creationId xmlns:a16="http://schemas.microsoft.com/office/drawing/2014/main" id="{844DA279-4BB6-CA45-85A9-187F83A65BBF}"/>
                </a:ext>
              </a:extLst>
            </xdr:cNvPr>
            <xdr:cNvSpPr txBox="1"/>
          </xdr:nvSpPr>
          <xdr:spPr>
            <a:xfrm>
              <a:off x="4197973" y="698573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14</xdr:col>
      <xdr:colOff>91139</xdr:colOff>
      <xdr:row>10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4">
              <a:extLst>
                <a:ext uri="{FF2B5EF4-FFF2-40B4-BE49-F238E27FC236}">
                  <a16:creationId xmlns:a16="http://schemas.microsoft.com/office/drawing/2014/main" id="{00000000-0008-0000-0B00-00003D000000}"/>
                </a:ext>
              </a:extLst>
            </xdr:cNvPr>
            <xdr:cNvSpPr txBox="1"/>
          </xdr:nvSpPr>
          <xdr:spPr>
            <a:xfrm>
              <a:off x="9222618" y="705055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1" name="CuadroTexto 4">
              <a:extLst>
                <a:ext uri="{FF2B5EF4-FFF2-40B4-BE49-F238E27FC236}">
                  <a16:creationId xmlns:a16="http://schemas.microsoft.com/office/drawing/2014/main" id="{A61A5B84-9EE5-7840-B40B-3B4BB2C6790F}"/>
                </a:ext>
              </a:extLst>
            </xdr:cNvPr>
            <xdr:cNvSpPr txBox="1"/>
          </xdr:nvSpPr>
          <xdr:spPr>
            <a:xfrm>
              <a:off x="9222618" y="705055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81746</xdr:colOff>
      <xdr:row>10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B00-00003E000000}"/>
                </a:ext>
              </a:extLst>
            </xdr:cNvPr>
            <xdr:cNvSpPr txBox="1"/>
          </xdr:nvSpPr>
          <xdr:spPr>
            <a:xfrm>
              <a:off x="7487098" y="70039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13419BDA-87FD-EB49-B6DF-4D8A4DA1BE45}"/>
                </a:ext>
              </a:extLst>
            </xdr:cNvPr>
            <xdr:cNvSpPr txBox="1"/>
          </xdr:nvSpPr>
          <xdr:spPr>
            <a:xfrm>
              <a:off x="7487098" y="700393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11</xdr:col>
      <xdr:colOff>44932</xdr:colOff>
      <xdr:row>10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00000000-0008-0000-0B00-00003F000000}"/>
                </a:ext>
              </a:extLst>
            </xdr:cNvPr>
            <xdr:cNvSpPr txBox="1"/>
          </xdr:nvSpPr>
          <xdr:spPr>
            <a:xfrm>
              <a:off x="6627467" y="697017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F21FD013-25AA-764B-B15C-12C80CEE6681}"/>
                </a:ext>
              </a:extLst>
            </xdr:cNvPr>
            <xdr:cNvSpPr txBox="1"/>
          </xdr:nvSpPr>
          <xdr:spPr>
            <a:xfrm>
              <a:off x="6627467" y="697017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17</xdr:col>
      <xdr:colOff>128607</xdr:colOff>
      <xdr:row>10</xdr:row>
      <xdr:rowOff>72517</xdr:rowOff>
    </xdr:from>
    <xdr:ext cx="651269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4">
              <a:extLst>
                <a:ext uri="{FF2B5EF4-FFF2-40B4-BE49-F238E27FC236}">
                  <a16:creationId xmlns:a16="http://schemas.microsoft.com/office/drawing/2014/main" id="{00000000-0008-0000-0B00-000040000000}"/>
                </a:ext>
              </a:extLst>
            </xdr:cNvPr>
            <xdr:cNvSpPr txBox="1"/>
          </xdr:nvSpPr>
          <xdr:spPr>
            <a:xfrm>
              <a:off x="10082903" y="698573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4" name="CuadroTexto 4">
              <a:extLst>
                <a:ext uri="{FF2B5EF4-FFF2-40B4-BE49-F238E27FC236}">
                  <a16:creationId xmlns:a16="http://schemas.microsoft.com/office/drawing/2014/main" id="{EC694A87-D692-A64A-B9CA-8AF3EBA7DD4F}"/>
                </a:ext>
              </a:extLst>
            </xdr:cNvPr>
            <xdr:cNvSpPr txBox="1"/>
          </xdr:nvSpPr>
          <xdr:spPr>
            <a:xfrm>
              <a:off x="10082903" y="698573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91139</xdr:colOff>
      <xdr:row>17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4">
              <a:extLst>
                <a:ext uri="{FF2B5EF4-FFF2-40B4-BE49-F238E27FC236}">
                  <a16:creationId xmlns:a16="http://schemas.microsoft.com/office/drawing/2014/main" id="{00000000-0008-0000-0B00-000041000000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5" name="CuadroTexto 4">
              <a:extLst>
                <a:ext uri="{FF2B5EF4-FFF2-40B4-BE49-F238E27FC236}">
                  <a16:creationId xmlns:a16="http://schemas.microsoft.com/office/drawing/2014/main" id="{07032664-C5A9-4B4D-A659-9018581795F0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81746</xdr:colOff>
      <xdr:row>17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00000000-0008-0000-0B00-000042000000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89B58F9A-E914-124E-9F8F-CD1180B58C9A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44932</xdr:colOff>
      <xdr:row>17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00000000-0008-0000-0B00-000043000000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9EEDA65E-746D-DC49-8414-520033BCD836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8</xdr:col>
      <xdr:colOff>128607</xdr:colOff>
      <xdr:row>17</xdr:row>
      <xdr:rowOff>72517</xdr:rowOff>
    </xdr:from>
    <xdr:ext cx="647678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4">
              <a:extLst>
                <a:ext uri="{FF2B5EF4-FFF2-40B4-BE49-F238E27FC236}">
                  <a16:creationId xmlns:a16="http://schemas.microsoft.com/office/drawing/2014/main" id="{00000000-0008-0000-0B00-000044000000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8" name="CuadroTexto 4">
              <a:extLst>
                <a:ext uri="{FF2B5EF4-FFF2-40B4-BE49-F238E27FC236}">
                  <a16:creationId xmlns:a16="http://schemas.microsoft.com/office/drawing/2014/main" id="{0248DB98-7B9D-5E43-8B5E-805C30951C3C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14</xdr:col>
      <xdr:colOff>91139</xdr:colOff>
      <xdr:row>17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4">
              <a:extLst>
                <a:ext uri="{FF2B5EF4-FFF2-40B4-BE49-F238E27FC236}">
                  <a16:creationId xmlns:a16="http://schemas.microsoft.com/office/drawing/2014/main" id="{00000000-0008-0000-0B00-000045000000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69" name="CuadroTexto 4">
              <a:extLst>
                <a:ext uri="{FF2B5EF4-FFF2-40B4-BE49-F238E27FC236}">
                  <a16:creationId xmlns:a16="http://schemas.microsoft.com/office/drawing/2014/main" id="{D38D4F75-79DF-9347-AC86-426EB60D01EE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81746</xdr:colOff>
      <xdr:row>17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00000000-0008-0000-0B00-000046000000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7CF34C3E-0DB3-B849-9024-84929C292914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11</xdr:col>
      <xdr:colOff>44932</xdr:colOff>
      <xdr:row>17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00000000-0008-0000-0B00-000047000000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45EFDD28-F8BB-E645-841B-A2F80F92061B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17</xdr:col>
      <xdr:colOff>128607</xdr:colOff>
      <xdr:row>17</xdr:row>
      <xdr:rowOff>72517</xdr:rowOff>
    </xdr:from>
    <xdr:ext cx="651269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4">
              <a:extLst>
                <a:ext uri="{FF2B5EF4-FFF2-40B4-BE49-F238E27FC236}">
                  <a16:creationId xmlns:a16="http://schemas.microsoft.com/office/drawing/2014/main" id="{00000000-0008-0000-0B00-000048000000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2" name="CuadroTexto 4">
              <a:extLst>
                <a:ext uri="{FF2B5EF4-FFF2-40B4-BE49-F238E27FC236}">
                  <a16:creationId xmlns:a16="http://schemas.microsoft.com/office/drawing/2014/main" id="{4CB3B28E-D738-004F-8906-96881689118A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91139</xdr:colOff>
      <xdr:row>24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4">
              <a:extLst>
                <a:ext uri="{FF2B5EF4-FFF2-40B4-BE49-F238E27FC236}">
                  <a16:creationId xmlns:a16="http://schemas.microsoft.com/office/drawing/2014/main" id="{00000000-0008-0000-0B00-000049000000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3" name="CuadroTexto 4">
              <a:extLst>
                <a:ext uri="{FF2B5EF4-FFF2-40B4-BE49-F238E27FC236}">
                  <a16:creationId xmlns:a16="http://schemas.microsoft.com/office/drawing/2014/main" id="{05AB7067-4F76-4A4F-BA7D-76E9FE68721E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81746</xdr:colOff>
      <xdr:row>24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00000000-0008-0000-0B00-00004A000000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7AD50DEF-E214-1B44-B2AB-ACF2906769C3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44932</xdr:colOff>
      <xdr:row>24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00000000-0008-0000-0B00-00004B000000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7416F6A2-1531-9B44-B6CE-90FAF9C4737A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8</xdr:col>
      <xdr:colOff>128607</xdr:colOff>
      <xdr:row>24</xdr:row>
      <xdr:rowOff>72517</xdr:rowOff>
    </xdr:from>
    <xdr:ext cx="647678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4">
              <a:extLst>
                <a:ext uri="{FF2B5EF4-FFF2-40B4-BE49-F238E27FC236}">
                  <a16:creationId xmlns:a16="http://schemas.microsoft.com/office/drawing/2014/main" id="{00000000-0008-0000-0B00-00004C000000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6" name="CuadroTexto 4">
              <a:extLst>
                <a:ext uri="{FF2B5EF4-FFF2-40B4-BE49-F238E27FC236}">
                  <a16:creationId xmlns:a16="http://schemas.microsoft.com/office/drawing/2014/main" id="{1DCF6100-BA96-7C46-A266-551CF0BC7954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14</xdr:col>
      <xdr:colOff>91139</xdr:colOff>
      <xdr:row>24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4">
              <a:extLst>
                <a:ext uri="{FF2B5EF4-FFF2-40B4-BE49-F238E27FC236}">
                  <a16:creationId xmlns:a16="http://schemas.microsoft.com/office/drawing/2014/main" id="{00000000-0008-0000-0B00-00004D000000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77" name="CuadroTexto 4">
              <a:extLst>
                <a:ext uri="{FF2B5EF4-FFF2-40B4-BE49-F238E27FC236}">
                  <a16:creationId xmlns:a16="http://schemas.microsoft.com/office/drawing/2014/main" id="{CB8E4277-FB49-644B-A840-B0383C7CA711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81746</xdr:colOff>
      <xdr:row>24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00000000-0008-0000-0B00-00004E000000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66CAE7C5-0687-4843-B667-BE890A7613D9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11</xdr:col>
      <xdr:colOff>44932</xdr:colOff>
      <xdr:row>24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00000000-0008-0000-0B00-00004F000000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D85418E0-479B-524B-9EE1-AB92C55E2A32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17</xdr:col>
      <xdr:colOff>128607</xdr:colOff>
      <xdr:row>24</xdr:row>
      <xdr:rowOff>72517</xdr:rowOff>
    </xdr:from>
    <xdr:ext cx="651269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4">
              <a:extLst>
                <a:ext uri="{FF2B5EF4-FFF2-40B4-BE49-F238E27FC236}">
                  <a16:creationId xmlns:a16="http://schemas.microsoft.com/office/drawing/2014/main" id="{00000000-0008-0000-0B00-000050000000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0" name="CuadroTexto 4">
              <a:extLst>
                <a:ext uri="{FF2B5EF4-FFF2-40B4-BE49-F238E27FC236}">
                  <a16:creationId xmlns:a16="http://schemas.microsoft.com/office/drawing/2014/main" id="{976D6127-623F-4D42-88BC-BFC206914C64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5</xdr:col>
      <xdr:colOff>91139</xdr:colOff>
      <xdr:row>31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4">
              <a:extLst>
                <a:ext uri="{FF2B5EF4-FFF2-40B4-BE49-F238E27FC236}">
                  <a16:creationId xmlns:a16="http://schemas.microsoft.com/office/drawing/2014/main" id="{00000000-0008-0000-0B00-000051000000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1" name="CuadroTexto 4">
              <a:extLst>
                <a:ext uri="{FF2B5EF4-FFF2-40B4-BE49-F238E27FC236}">
                  <a16:creationId xmlns:a16="http://schemas.microsoft.com/office/drawing/2014/main" id="{B442D956-4F8A-6C4B-B474-1704255A7F2B}"/>
                </a:ext>
              </a:extLst>
            </xdr:cNvPr>
            <xdr:cNvSpPr txBox="1"/>
          </xdr:nvSpPr>
          <xdr:spPr>
            <a:xfrm>
              <a:off x="3427125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3</xdr:col>
      <xdr:colOff>81746</xdr:colOff>
      <xdr:row>31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B00-000052000000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F3763857-341F-CE40-BA27-B0314730B5F0}"/>
                </a:ext>
              </a:extLst>
            </xdr:cNvPr>
            <xdr:cNvSpPr txBox="1"/>
          </xdr:nvSpPr>
          <xdr:spPr>
            <a:xfrm>
              <a:off x="1789985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2</xdr:col>
      <xdr:colOff>44932</xdr:colOff>
      <xdr:row>31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00000000-0008-0000-0B00-000053000000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ED38199C-2900-B54B-BCC4-0863ADF9F2D5}"/>
                </a:ext>
              </a:extLst>
            </xdr:cNvPr>
            <xdr:cNvSpPr txBox="1"/>
          </xdr:nvSpPr>
          <xdr:spPr>
            <a:xfrm>
              <a:off x="992960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8</xdr:col>
      <xdr:colOff>128607</xdr:colOff>
      <xdr:row>31</xdr:row>
      <xdr:rowOff>72517</xdr:rowOff>
    </xdr:from>
    <xdr:ext cx="647678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4">
              <a:extLst>
                <a:ext uri="{FF2B5EF4-FFF2-40B4-BE49-F238E27FC236}">
                  <a16:creationId xmlns:a16="http://schemas.microsoft.com/office/drawing/2014/main" id="{00000000-0008-0000-0B00-000054000000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4" name="CuadroTexto 4">
              <a:extLst>
                <a:ext uri="{FF2B5EF4-FFF2-40B4-BE49-F238E27FC236}">
                  <a16:creationId xmlns:a16="http://schemas.microsoft.com/office/drawing/2014/main" id="{3FBF2F25-C6B8-4045-A635-DEE61E29B023}"/>
                </a:ext>
              </a:extLst>
            </xdr:cNvPr>
            <xdr:cNvSpPr txBox="1"/>
          </xdr:nvSpPr>
          <xdr:spPr>
            <a:xfrm>
              <a:off x="4197973" y="2478362"/>
              <a:ext cx="647678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14</xdr:col>
      <xdr:colOff>91139</xdr:colOff>
      <xdr:row>31</xdr:row>
      <xdr:rowOff>78999</xdr:rowOff>
    </xdr:from>
    <xdr:ext cx="554319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4">
              <a:extLst>
                <a:ext uri="{FF2B5EF4-FFF2-40B4-BE49-F238E27FC236}">
                  <a16:creationId xmlns:a16="http://schemas.microsoft.com/office/drawing/2014/main" id="{00000000-0008-0000-0B00-000055000000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sb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5" name="CuadroTexto 4">
              <a:extLst>
                <a:ext uri="{FF2B5EF4-FFF2-40B4-BE49-F238E27FC236}">
                  <a16:creationId xmlns:a16="http://schemas.microsoft.com/office/drawing/2014/main" id="{89E12B53-970A-1C4B-9FCF-BAD61F0F9467}"/>
                </a:ext>
              </a:extLst>
            </xdr:cNvPr>
            <xdr:cNvSpPr txBox="1"/>
          </xdr:nvSpPr>
          <xdr:spPr>
            <a:xfrm>
              <a:off x="9222618" y="2484844"/>
              <a:ext cx="554319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sb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12</xdr:col>
      <xdr:colOff>81746</xdr:colOff>
      <xdr:row>31</xdr:row>
      <xdr:rowOff>74337</xdr:rowOff>
    </xdr:from>
    <xdr:ext cx="54925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00000000-0008-0000-0B00-000056000000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1DA21894-A3C0-5F49-9191-6FCE11BA6D8D}"/>
                </a:ext>
              </a:extLst>
            </xdr:cNvPr>
            <xdr:cNvSpPr txBox="1"/>
          </xdr:nvSpPr>
          <xdr:spPr>
            <a:xfrm>
              <a:off x="7487098" y="2480182"/>
              <a:ext cx="54925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𝑏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11</xdr:col>
      <xdr:colOff>44932</xdr:colOff>
      <xdr:row>31</xdr:row>
      <xdr:rowOff>70961</xdr:rowOff>
    </xdr:from>
    <xdr:ext cx="680827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00000000-0008-0000-0B00-000057000000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_tradnl" sz="1100" i="1"/>
            </a:p>
          </xdr:txBody>
        </xdr:sp>
      </mc:Choice>
      <mc:Fallback xmlns="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84E4B635-E68E-C247-812E-D95E2365358D}"/>
                </a:ext>
              </a:extLst>
            </xdr:cNvPr>
            <xdr:cNvSpPr txBox="1"/>
          </xdr:nvSpPr>
          <xdr:spPr>
            <a:xfrm>
              <a:off x="6627467" y="2476806"/>
              <a:ext cx="680827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_(</a:t>
              </a:r>
              <a:r>
                <a:rPr lang="es-ES" sz="1200" b="0" i="0">
                  <a:latin typeface="Cambria Math" panose="02040503050406030204" pitchFamily="18" charset="0"/>
                </a:rPr>
                <a:t>𝑖,𝐿𝐹</a:t>
              </a:r>
              <a:r>
                <a:rPr lang="es-ES_tradnl" sz="1200" b="0" i="0">
                  <a:latin typeface="Cambria Math" panose="02040503050406030204" pitchFamily="18" charset="0"/>
                </a:rPr>
                <a:t>)</a:t>
              </a:r>
              <a:r>
                <a:rPr lang="es-ES" sz="1200" b="0" i="0">
                  <a:latin typeface="Cambria Math" panose="02040503050406030204" pitchFamily="18" charset="0"/>
                </a:rPr>
                <a:t>  (𝑑𝐵)</a:t>
              </a:r>
              <a:endParaRPr lang="es-ES_tradnl" sz="1100" i="1"/>
            </a:p>
          </xdr:txBody>
        </xdr:sp>
      </mc:Fallback>
    </mc:AlternateContent>
    <xdr:clientData/>
  </xdr:oneCellAnchor>
  <xdr:oneCellAnchor>
    <xdr:from>
      <xdr:col>17</xdr:col>
      <xdr:colOff>128607</xdr:colOff>
      <xdr:row>31</xdr:row>
      <xdr:rowOff>72517</xdr:rowOff>
    </xdr:from>
    <xdr:ext cx="651269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4">
              <a:extLst>
                <a:ext uri="{FF2B5EF4-FFF2-40B4-BE49-F238E27FC236}">
                  <a16:creationId xmlns:a16="http://schemas.microsoft.com/office/drawing/2014/main" id="{00000000-0008-0000-0B00-000058000000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2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20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e>
                    <m:sub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2,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LF</m:t>
                      </m:r>
                    </m:sub>
                  </m:sSub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Choice>
      <mc:Fallback xmlns="">
        <xdr:sp macro="" textlink="">
          <xdr:nvSpPr>
            <xdr:cNvPr id="88" name="CuadroTexto 4">
              <a:extLst>
                <a:ext uri="{FF2B5EF4-FFF2-40B4-BE49-F238E27FC236}">
                  <a16:creationId xmlns:a16="http://schemas.microsoft.com/office/drawing/2014/main" id="{353CEDCB-F412-554D-A23E-D247C52ABD71}"/>
                </a:ext>
              </a:extLst>
            </xdr:cNvPr>
            <xdr:cNvSpPr txBox="1"/>
          </xdr:nvSpPr>
          <xdr:spPr>
            <a:xfrm>
              <a:off x="10082903" y="2478362"/>
              <a:ext cx="651269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ES_tradnl" sz="12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2,LF</a:t>
              </a:r>
              <a:r>
                <a:rPr lang="es-ES_tradnl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(dB)</a:t>
              </a:r>
            </a:p>
          </xdr:txBody>
        </xdr:sp>
      </mc:Fallback>
    </mc:AlternateContent>
    <xdr:clientData/>
  </xdr:oneCellAnchor>
  <xdr:oneCellAnchor>
    <xdr:from>
      <xdr:col>1</xdr:col>
      <xdr:colOff>104098</xdr:colOff>
      <xdr:row>3</xdr:row>
      <xdr:rowOff>93689</xdr:rowOff>
    </xdr:from>
    <xdr:ext cx="704680" cy="176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7BADFFAD-3A38-DF4D-8C8A-B75E8A921C53}"/>
                </a:ext>
              </a:extLst>
            </xdr:cNvPr>
            <xdr:cNvSpPr txBox="1"/>
          </xdr:nvSpPr>
          <xdr:spPr>
            <a:xfrm>
              <a:off x="385164" y="728689"/>
              <a:ext cx="704680" cy="176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7BADFFAD-3A38-DF4D-8C8A-B75E8A921C53}"/>
                </a:ext>
              </a:extLst>
            </xdr:cNvPr>
            <xdr:cNvSpPr txBox="1"/>
          </xdr:nvSpPr>
          <xdr:spPr>
            <a:xfrm>
              <a:off x="385164" y="728689"/>
              <a:ext cx="704680" cy="176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114510</xdr:colOff>
      <xdr:row>3</xdr:row>
      <xdr:rowOff>72870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AFC46F71-256C-FD4A-A1A1-A6A86EBFDC28}"/>
                </a:ext>
              </a:extLst>
            </xdr:cNvPr>
            <xdr:cNvSpPr txBox="1"/>
          </xdr:nvSpPr>
          <xdr:spPr>
            <a:xfrm>
              <a:off x="5371477" y="7078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AFC46F71-256C-FD4A-A1A1-A6A86EBFDC28}"/>
                </a:ext>
              </a:extLst>
            </xdr:cNvPr>
            <xdr:cNvSpPr txBox="1"/>
          </xdr:nvSpPr>
          <xdr:spPr>
            <a:xfrm>
              <a:off x="5371477" y="70787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114510</xdr:colOff>
      <xdr:row>10</xdr:row>
      <xdr:rowOff>72870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C4BA9ACC-1CDC-784E-BAFC-06B003EAD226}"/>
                </a:ext>
              </a:extLst>
            </xdr:cNvPr>
            <xdr:cNvSpPr txBox="1"/>
          </xdr:nvSpPr>
          <xdr:spPr>
            <a:xfrm>
              <a:off x="5371477" y="230057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C4BA9ACC-1CDC-784E-BAFC-06B003EAD226}"/>
                </a:ext>
              </a:extLst>
            </xdr:cNvPr>
            <xdr:cNvSpPr txBox="1"/>
          </xdr:nvSpPr>
          <xdr:spPr>
            <a:xfrm>
              <a:off x="5371477" y="2300575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135328</xdr:colOff>
      <xdr:row>24</xdr:row>
      <xdr:rowOff>62459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F6B6FC85-A918-784B-B533-5F297EEAA050}"/>
                </a:ext>
              </a:extLst>
            </xdr:cNvPr>
            <xdr:cNvSpPr txBox="1"/>
          </xdr:nvSpPr>
          <xdr:spPr>
            <a:xfrm>
              <a:off x="5392295" y="5475574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F6B6FC85-A918-784B-B533-5F297EEAA050}"/>
                </a:ext>
              </a:extLst>
            </xdr:cNvPr>
            <xdr:cNvSpPr txBox="1"/>
          </xdr:nvSpPr>
          <xdr:spPr>
            <a:xfrm>
              <a:off x="5392295" y="5475574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145738</xdr:colOff>
      <xdr:row>17</xdr:row>
      <xdr:rowOff>83279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BAC46681-5B20-F848-B4E4-9BFC2B57BF0E}"/>
                </a:ext>
              </a:extLst>
            </xdr:cNvPr>
            <xdr:cNvSpPr txBox="1"/>
          </xdr:nvSpPr>
          <xdr:spPr>
            <a:xfrm>
              <a:off x="5402705" y="39036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BAC46681-5B20-F848-B4E4-9BFC2B57BF0E}"/>
                </a:ext>
              </a:extLst>
            </xdr:cNvPr>
            <xdr:cNvSpPr txBox="1"/>
          </xdr:nvSpPr>
          <xdr:spPr>
            <a:xfrm>
              <a:off x="5402705" y="39036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124918</xdr:colOff>
      <xdr:row>31</xdr:row>
      <xdr:rowOff>83278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D45FCE07-738B-6149-80C5-BE1B8B352845}"/>
                </a:ext>
              </a:extLst>
            </xdr:cNvPr>
            <xdr:cNvSpPr txBox="1"/>
          </xdr:nvSpPr>
          <xdr:spPr>
            <a:xfrm>
              <a:off x="5381885" y="708909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D45FCE07-738B-6149-80C5-BE1B8B352845}"/>
                </a:ext>
              </a:extLst>
            </xdr:cNvPr>
            <xdr:cNvSpPr txBox="1"/>
          </xdr:nvSpPr>
          <xdr:spPr>
            <a:xfrm>
              <a:off x="5381885" y="708909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52049</xdr:colOff>
      <xdr:row>31</xdr:row>
      <xdr:rowOff>72869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E65F6995-75AC-474F-8BE8-17577822E66B}"/>
                </a:ext>
              </a:extLst>
            </xdr:cNvPr>
            <xdr:cNvSpPr txBox="1"/>
          </xdr:nvSpPr>
          <xdr:spPr>
            <a:xfrm>
              <a:off x="333115" y="70786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E65F6995-75AC-474F-8BE8-17577822E66B}"/>
                </a:ext>
              </a:extLst>
            </xdr:cNvPr>
            <xdr:cNvSpPr txBox="1"/>
          </xdr:nvSpPr>
          <xdr:spPr>
            <a:xfrm>
              <a:off x="333115" y="7078689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83278</xdr:colOff>
      <xdr:row>10</xdr:row>
      <xdr:rowOff>83278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43AA6435-6F3F-7B41-AACB-E25CEB0669ED}"/>
                </a:ext>
              </a:extLst>
            </xdr:cNvPr>
            <xdr:cNvSpPr txBox="1"/>
          </xdr:nvSpPr>
          <xdr:spPr>
            <a:xfrm>
              <a:off x="364344" y="231098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43AA6435-6F3F-7B41-AACB-E25CEB0669ED}"/>
                </a:ext>
              </a:extLst>
            </xdr:cNvPr>
            <xdr:cNvSpPr txBox="1"/>
          </xdr:nvSpPr>
          <xdr:spPr>
            <a:xfrm>
              <a:off x="364344" y="231098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93689</xdr:colOff>
      <xdr:row>17</xdr:row>
      <xdr:rowOff>83278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9E7D2CD2-0465-5449-953A-29D98ED8B628}"/>
                </a:ext>
              </a:extLst>
            </xdr:cNvPr>
            <xdr:cNvSpPr txBox="1"/>
          </xdr:nvSpPr>
          <xdr:spPr>
            <a:xfrm>
              <a:off x="374755" y="39036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9E7D2CD2-0465-5449-953A-29D98ED8B628}"/>
                </a:ext>
              </a:extLst>
            </xdr:cNvPr>
            <xdr:cNvSpPr txBox="1"/>
          </xdr:nvSpPr>
          <xdr:spPr>
            <a:xfrm>
              <a:off x="374755" y="39036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104098</xdr:colOff>
      <xdr:row>24</xdr:row>
      <xdr:rowOff>72868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F9EB5A11-06A7-7B4C-883A-FD129498AC7C}"/>
                </a:ext>
              </a:extLst>
            </xdr:cNvPr>
            <xdr:cNvSpPr txBox="1"/>
          </xdr:nvSpPr>
          <xdr:spPr>
            <a:xfrm>
              <a:off x="385164" y="548598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F9EB5A11-06A7-7B4C-883A-FD129498AC7C}"/>
                </a:ext>
              </a:extLst>
            </xdr:cNvPr>
            <xdr:cNvSpPr txBox="1"/>
          </xdr:nvSpPr>
          <xdr:spPr>
            <a:xfrm>
              <a:off x="385164" y="5485983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0.17739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32555" y="4529976"/>
          <a:ext cx="1468718" cy="291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50                                                                                                                                                60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                                                                                                                     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</a:t>
          </a:r>
          <a:endParaRPr lang="es-ES_tradnl" sz="900" b="0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21053</xdr:colOff>
      <xdr:row>1</xdr:row>
      <xdr:rowOff>15217</xdr:rowOff>
    </xdr:from>
    <xdr:to>
      <xdr:col>30</xdr:col>
      <xdr:colOff>362235</xdr:colOff>
      <xdr:row>32</xdr:row>
      <xdr:rowOff>159489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6548" y="221163"/>
          <a:ext cx="7755237" cy="785974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438688</xdr:colOff>
      <xdr:row>66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124507</xdr:colOff>
      <xdr:row>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5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11913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4" name="CuadroTexto 5">
              <a:extLst>
                <a:ext uri="{FF2B5EF4-FFF2-40B4-BE49-F238E27FC236}">
                  <a16:creationId xmlns:a16="http://schemas.microsoft.com/office/drawing/2014/main" id="{BA397949-42EB-7548-A204-FAE05E8F17E9}"/>
                </a:ext>
              </a:extLst>
            </xdr:cNvPr>
            <xdr:cNvSpPr txBox="1"/>
          </xdr:nvSpPr>
          <xdr:spPr>
            <a:xfrm>
              <a:off x="11913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202565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875CC00-16A1-8948-BA48-515C39BE05EA}"/>
                </a:ext>
              </a:extLst>
            </xdr:cNvPr>
            <xdr:cNvSpPr txBox="1"/>
          </xdr:nvSpPr>
          <xdr:spPr>
            <a:xfrm>
              <a:off x="202565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5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SpPr txBox="1"/>
          </xdr:nvSpPr>
          <xdr:spPr>
            <a:xfrm>
              <a:off x="287655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" name="CuadroTexto 5">
              <a:extLst>
                <a:ext uri="{FF2B5EF4-FFF2-40B4-BE49-F238E27FC236}">
                  <a16:creationId xmlns:a16="http://schemas.microsoft.com/office/drawing/2014/main" id="{16EF0461-D4B1-6B49-B9A5-9CD20D834F75}"/>
                </a:ext>
              </a:extLst>
            </xdr:cNvPr>
            <xdr:cNvSpPr txBox="1"/>
          </xdr:nvSpPr>
          <xdr:spPr>
            <a:xfrm>
              <a:off x="287655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5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33020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" name="CuadroTexto 5">
              <a:extLst>
                <a:ext uri="{FF2B5EF4-FFF2-40B4-BE49-F238E27FC236}">
                  <a16:creationId xmlns:a16="http://schemas.microsoft.com/office/drawing/2014/main" id="{A765A6F1-B740-6143-8FF9-C2528243F60B}"/>
                </a:ext>
              </a:extLst>
            </xdr:cNvPr>
            <xdr:cNvSpPr txBox="1"/>
          </xdr:nvSpPr>
          <xdr:spPr>
            <a:xfrm>
              <a:off x="33020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3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SpPr txBox="1"/>
          </xdr:nvSpPr>
          <xdr:spPr>
            <a:xfrm>
              <a:off x="3760107" y="7910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210ED299-7084-0A4D-92E4-8462739695BF}"/>
                </a:ext>
              </a:extLst>
            </xdr:cNvPr>
            <xdr:cNvSpPr txBox="1"/>
          </xdr:nvSpPr>
          <xdr:spPr>
            <a:xfrm>
              <a:off x="3760107" y="7910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3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SpPr txBox="1"/>
          </xdr:nvSpPr>
          <xdr:spPr>
            <a:xfrm>
              <a:off x="4565650" y="7834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57C1798-0E88-3E43-B868-115F38518993}"/>
                </a:ext>
              </a:extLst>
            </xdr:cNvPr>
            <xdr:cNvSpPr txBox="1"/>
          </xdr:nvSpPr>
          <xdr:spPr>
            <a:xfrm>
              <a:off x="4565650" y="7834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SpPr txBox="1"/>
          </xdr:nvSpPr>
          <xdr:spPr>
            <a:xfrm>
              <a:off x="614528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8647F416-E314-3348-8FAF-301260AB1229}"/>
                </a:ext>
              </a:extLst>
            </xdr:cNvPr>
            <xdr:cNvSpPr txBox="1"/>
          </xdr:nvSpPr>
          <xdr:spPr>
            <a:xfrm>
              <a:off x="614528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38100</xdr:colOff>
      <xdr:row>3</xdr:row>
      <xdr:rowOff>139700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5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SpPr txBox="1"/>
          </xdr:nvSpPr>
          <xdr:spPr>
            <a:xfrm>
              <a:off x="5846233" y="7493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2" name="CuadroTexto 5">
              <a:extLst>
                <a:ext uri="{FF2B5EF4-FFF2-40B4-BE49-F238E27FC236}">
                  <a16:creationId xmlns:a16="http://schemas.microsoft.com/office/drawing/2014/main" id="{581D4FBA-84DF-6B47-8104-439E190F72A9}"/>
                </a:ext>
              </a:extLst>
            </xdr:cNvPr>
            <xdr:cNvSpPr txBox="1"/>
          </xdr:nvSpPr>
          <xdr:spPr>
            <a:xfrm>
              <a:off x="5846233" y="7493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132141</xdr:colOff>
      <xdr:row>3</xdr:row>
      <xdr:rowOff>115812</xdr:rowOff>
    </xdr:from>
    <xdr:ext cx="755015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SpPr txBox="1"/>
          </xdr:nvSpPr>
          <xdr:spPr>
            <a:xfrm>
              <a:off x="7752141" y="7254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3B44DB16-A9D3-9543-A662-1E373EBEF7EC}"/>
                </a:ext>
              </a:extLst>
            </xdr:cNvPr>
            <xdr:cNvSpPr txBox="1"/>
          </xdr:nvSpPr>
          <xdr:spPr>
            <a:xfrm>
              <a:off x="7752141" y="7254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3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 txBox="1"/>
          </xdr:nvSpPr>
          <xdr:spPr>
            <a:xfrm>
              <a:off x="87732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3FE77209-233F-0B4A-AC18-39235A1B5FAF}"/>
                </a:ext>
              </a:extLst>
            </xdr:cNvPr>
            <xdr:cNvSpPr txBox="1"/>
          </xdr:nvSpPr>
          <xdr:spPr>
            <a:xfrm>
              <a:off x="8773207" y="7065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3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C00-00000F000000}"/>
                </a:ext>
              </a:extLst>
            </xdr:cNvPr>
            <xdr:cNvSpPr txBox="1"/>
          </xdr:nvSpPr>
          <xdr:spPr>
            <a:xfrm>
              <a:off x="960755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CAA6BE4B-CAA1-3540-81DA-A837FBF21BD3}"/>
                </a:ext>
              </a:extLst>
            </xdr:cNvPr>
            <xdr:cNvSpPr txBox="1"/>
          </xdr:nvSpPr>
          <xdr:spPr>
            <a:xfrm>
              <a:off x="9607550" y="7048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3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00000000-0008-0000-0C00-000010000000}"/>
                </a:ext>
              </a:extLst>
            </xdr:cNvPr>
            <xdr:cNvSpPr txBox="1"/>
          </xdr:nvSpPr>
          <xdr:spPr>
            <a:xfrm>
              <a:off x="1045845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8B0CA11B-08E3-4D43-93E3-FD8BA07A9893}"/>
                </a:ext>
              </a:extLst>
            </xdr:cNvPr>
            <xdr:cNvSpPr txBox="1"/>
          </xdr:nvSpPr>
          <xdr:spPr>
            <a:xfrm>
              <a:off x="10458450" y="7874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3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C00-000011000000}"/>
                </a:ext>
              </a:extLst>
            </xdr:cNvPr>
            <xdr:cNvSpPr txBox="1"/>
          </xdr:nvSpPr>
          <xdr:spPr>
            <a:xfrm>
              <a:off x="791210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809F709B-5C35-CA4D-9B00-C21FBEB6249B}"/>
                </a:ext>
              </a:extLst>
            </xdr:cNvPr>
            <xdr:cNvSpPr txBox="1"/>
          </xdr:nvSpPr>
          <xdr:spPr>
            <a:xfrm>
              <a:off x="7912100" y="7810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3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 txBox="1"/>
          </xdr:nvSpPr>
          <xdr:spPr>
            <a:xfrm>
              <a:off x="11342008" y="7759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78F6691C-F52D-A34B-B344-C66F5FC3A569}"/>
                </a:ext>
              </a:extLst>
            </xdr:cNvPr>
            <xdr:cNvSpPr txBox="1"/>
          </xdr:nvSpPr>
          <xdr:spPr>
            <a:xfrm>
              <a:off x="11342008" y="7759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3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SpPr txBox="1"/>
          </xdr:nvSpPr>
          <xdr:spPr>
            <a:xfrm>
              <a:off x="12147550" y="7759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B562AE8C-160C-3A41-85F3-959AAC45ACA7}"/>
                </a:ext>
              </a:extLst>
            </xdr:cNvPr>
            <xdr:cNvSpPr txBox="1"/>
          </xdr:nvSpPr>
          <xdr:spPr>
            <a:xfrm>
              <a:off x="12147550" y="7759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3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00000000-0008-0000-0C00-000014000000}"/>
                </a:ext>
              </a:extLst>
            </xdr:cNvPr>
            <xdr:cNvSpPr txBox="1"/>
          </xdr:nvSpPr>
          <xdr:spPr>
            <a:xfrm>
              <a:off x="1372718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7F23D2D4-09B2-B744-A0C5-9B0A58E464C1}"/>
                </a:ext>
              </a:extLst>
            </xdr:cNvPr>
            <xdr:cNvSpPr txBox="1"/>
          </xdr:nvSpPr>
          <xdr:spPr>
            <a:xfrm>
              <a:off x="13727188" y="7813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3</xdr:row>
      <xdr:rowOff>114300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C00-000015000000}"/>
                </a:ext>
              </a:extLst>
            </xdr:cNvPr>
            <xdr:cNvSpPr txBox="1"/>
          </xdr:nvSpPr>
          <xdr:spPr>
            <a:xfrm>
              <a:off x="14092767" y="7239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3027B77-633D-A444-8036-6ADFC3DB4156}"/>
                </a:ext>
              </a:extLst>
            </xdr:cNvPr>
            <xdr:cNvSpPr txBox="1"/>
          </xdr:nvSpPr>
          <xdr:spPr>
            <a:xfrm>
              <a:off x="14092767" y="7239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3</xdr:row>
      <xdr:rowOff>115812</xdr:rowOff>
    </xdr:from>
    <xdr:ext cx="758606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00000000-0008-0000-0C00-000016000000}"/>
                </a:ext>
              </a:extLst>
            </xdr:cNvPr>
            <xdr:cNvSpPr txBox="1"/>
          </xdr:nvSpPr>
          <xdr:spPr>
            <a:xfrm>
              <a:off x="16007140" y="7254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4C5D5E46-680D-514A-A223-0F849D1BB8ED}"/>
                </a:ext>
              </a:extLst>
            </xdr:cNvPr>
            <xdr:cNvSpPr txBox="1"/>
          </xdr:nvSpPr>
          <xdr:spPr>
            <a:xfrm>
              <a:off x="16007140" y="7254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〖𝑅′〗_(2, 𝐿𝐹)  (𝑑𝐵)</a:t>
              </a:r>
              <a:endParaRPr lang="es-ES" sz="1200" b="0" i="1"/>
            </a:p>
          </xdr:txBody>
        </xdr:sp>
      </mc:Fallback>
    </mc:AlternateContent>
    <xdr:clientData/>
  </xdr:oneCellAnchor>
  <xdr:twoCellAnchor editAs="oneCell">
    <xdr:from>
      <xdr:col>8</xdr:col>
      <xdr:colOff>177800</xdr:colOff>
      <xdr:row>2</xdr:row>
      <xdr:rowOff>12700</xdr:rowOff>
    </xdr:from>
    <xdr:to>
      <xdr:col>8</xdr:col>
      <xdr:colOff>661779</xdr:colOff>
      <xdr:row>2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00000000-0008-0000-0C00-000017000000}"/>
                </a:ext>
              </a:extLst>
            </xdr:cNvPr>
            <xdr:cNvSpPr txBox="1"/>
          </xdr:nvSpPr>
          <xdr:spPr>
            <a:xfrm>
              <a:off x="6934200" y="419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57847622-BD1B-8149-8A86-31C6B17A5E90}"/>
                </a:ext>
              </a:extLst>
            </xdr:cNvPr>
            <xdr:cNvSpPr txBox="1"/>
          </xdr:nvSpPr>
          <xdr:spPr>
            <a:xfrm>
              <a:off x="6934200" y="419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18</xdr:col>
      <xdr:colOff>165100</xdr:colOff>
      <xdr:row>2</xdr:row>
      <xdr:rowOff>12700</xdr:rowOff>
    </xdr:from>
    <xdr:to>
      <xdr:col>18</xdr:col>
      <xdr:colOff>649079</xdr:colOff>
      <xdr:row>2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C00-000018000000}"/>
                </a:ext>
              </a:extLst>
            </xdr:cNvPr>
            <xdr:cNvSpPr txBox="1"/>
          </xdr:nvSpPr>
          <xdr:spPr>
            <a:xfrm>
              <a:off x="15252700" y="419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B06EEC79-0A6B-8B45-B6C5-98A81B2397D9}"/>
                </a:ext>
              </a:extLst>
            </xdr:cNvPr>
            <xdr:cNvSpPr txBox="1"/>
          </xdr:nvSpPr>
          <xdr:spPr>
            <a:xfrm>
              <a:off x="15252700" y="419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8</xdr:col>
      <xdr:colOff>139700</xdr:colOff>
      <xdr:row>9</xdr:row>
      <xdr:rowOff>12700</xdr:rowOff>
    </xdr:from>
    <xdr:to>
      <xdr:col>8</xdr:col>
      <xdr:colOff>623679</xdr:colOff>
      <xdr:row>9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C00-000019000000}"/>
                </a:ext>
              </a:extLst>
            </xdr:cNvPr>
            <xdr:cNvSpPr txBox="1"/>
          </xdr:nvSpPr>
          <xdr:spPr>
            <a:xfrm>
              <a:off x="6896100" y="22733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2229E9F0-CEA3-794D-862A-247970CFAF8B}"/>
                </a:ext>
              </a:extLst>
            </xdr:cNvPr>
            <xdr:cNvSpPr txBox="1"/>
          </xdr:nvSpPr>
          <xdr:spPr>
            <a:xfrm>
              <a:off x="6896100" y="22733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16</xdr:row>
      <xdr:rowOff>12700</xdr:rowOff>
    </xdr:from>
    <xdr:to>
      <xdr:col>8</xdr:col>
      <xdr:colOff>674479</xdr:colOff>
      <xdr:row>16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00000000-0008-0000-0C00-00001B000000}"/>
                </a:ext>
              </a:extLst>
            </xdr:cNvPr>
            <xdr:cNvSpPr txBox="1"/>
          </xdr:nvSpPr>
          <xdr:spPr>
            <a:xfrm>
              <a:off x="6946900" y="41529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A5717934-654C-9E4F-BA59-24576E36F6B3}"/>
                </a:ext>
              </a:extLst>
            </xdr:cNvPr>
            <xdr:cNvSpPr txBox="1"/>
          </xdr:nvSpPr>
          <xdr:spPr>
            <a:xfrm>
              <a:off x="6946900" y="41529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8</xdr:col>
      <xdr:colOff>177800</xdr:colOff>
      <xdr:row>30</xdr:row>
      <xdr:rowOff>12700</xdr:rowOff>
    </xdr:from>
    <xdr:to>
      <xdr:col>8</xdr:col>
      <xdr:colOff>661779</xdr:colOff>
      <xdr:row>30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00000000-0008-0000-0C00-00001D000000}"/>
                </a:ext>
              </a:extLst>
            </xdr:cNvPr>
            <xdr:cNvSpPr txBox="1"/>
          </xdr:nvSpPr>
          <xdr:spPr>
            <a:xfrm>
              <a:off x="6934200" y="78867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20F53A92-A3B4-014A-ABFA-E743BD7951BA}"/>
                </a:ext>
              </a:extLst>
            </xdr:cNvPr>
            <xdr:cNvSpPr txBox="1"/>
          </xdr:nvSpPr>
          <xdr:spPr>
            <a:xfrm>
              <a:off x="6934200" y="78867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8</xdr:col>
      <xdr:colOff>203200</xdr:colOff>
      <xdr:row>23</xdr:row>
      <xdr:rowOff>0</xdr:rowOff>
    </xdr:from>
    <xdr:to>
      <xdr:col>8</xdr:col>
      <xdr:colOff>687179</xdr:colOff>
      <xdr:row>23</xdr:row>
      <xdr:rowOff>191334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00000000-0008-0000-0C00-00001E000000}"/>
                </a:ext>
              </a:extLst>
            </xdr:cNvPr>
            <xdr:cNvSpPr txBox="1"/>
          </xdr:nvSpPr>
          <xdr:spPr>
            <a:xfrm>
              <a:off x="6959600" y="6007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0" name="CuadroTexto 5">
              <a:extLst>
                <a:ext uri="{FF2B5EF4-FFF2-40B4-BE49-F238E27FC236}">
                  <a16:creationId xmlns:a16="http://schemas.microsoft.com/office/drawing/2014/main" id="{4D7C058E-AD80-3D47-A957-597125E7147A}"/>
                </a:ext>
              </a:extLst>
            </xdr:cNvPr>
            <xdr:cNvSpPr txBox="1"/>
          </xdr:nvSpPr>
          <xdr:spPr>
            <a:xfrm>
              <a:off x="6959600" y="6007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18</xdr:col>
      <xdr:colOff>177800</xdr:colOff>
      <xdr:row>23</xdr:row>
      <xdr:rowOff>0</xdr:rowOff>
    </xdr:from>
    <xdr:to>
      <xdr:col>18</xdr:col>
      <xdr:colOff>661779</xdr:colOff>
      <xdr:row>23</xdr:row>
      <xdr:rowOff>191334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00000000-0008-0000-0C00-00001F000000}"/>
                </a:ext>
              </a:extLst>
            </xdr:cNvPr>
            <xdr:cNvSpPr txBox="1"/>
          </xdr:nvSpPr>
          <xdr:spPr>
            <a:xfrm>
              <a:off x="15265400" y="6007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1" name="CuadroTexto 5">
              <a:extLst>
                <a:ext uri="{FF2B5EF4-FFF2-40B4-BE49-F238E27FC236}">
                  <a16:creationId xmlns:a16="http://schemas.microsoft.com/office/drawing/2014/main" id="{63BD9635-EB1C-8141-BD97-C922B98FC988}"/>
                </a:ext>
              </a:extLst>
            </xdr:cNvPr>
            <xdr:cNvSpPr txBox="1"/>
          </xdr:nvSpPr>
          <xdr:spPr>
            <a:xfrm>
              <a:off x="15265400" y="60071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twoCellAnchor editAs="oneCell">
    <xdr:from>
      <xdr:col>18</xdr:col>
      <xdr:colOff>165100</xdr:colOff>
      <xdr:row>16</xdr:row>
      <xdr:rowOff>12700</xdr:rowOff>
    </xdr:from>
    <xdr:to>
      <xdr:col>18</xdr:col>
      <xdr:colOff>649079</xdr:colOff>
      <xdr:row>16</xdr:row>
      <xdr:rowOff>204034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00000000-0008-0000-0C00-000021000000}"/>
                </a:ext>
              </a:extLst>
            </xdr:cNvPr>
            <xdr:cNvSpPr txBox="1"/>
          </xdr:nvSpPr>
          <xdr:spPr>
            <a:xfrm>
              <a:off x="15252700" y="41529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ED9626C9-19A7-C645-8BA8-0C5E24589A11}"/>
                </a:ext>
              </a:extLst>
            </xdr:cNvPr>
            <xdr:cNvSpPr txBox="1"/>
          </xdr:nvSpPr>
          <xdr:spPr>
            <a:xfrm>
              <a:off x="15252700" y="41529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twoCellAnchor>
  <xdr:oneCellAnchor>
    <xdr:from>
      <xdr:col>2</xdr:col>
      <xdr:colOff>124507</xdr:colOff>
      <xdr:row>10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C00-000022000000}"/>
                </a:ext>
              </a:extLst>
            </xdr:cNvPr>
            <xdr:cNvSpPr txBox="1"/>
          </xdr:nvSpPr>
          <xdr:spPr>
            <a:xfrm>
              <a:off x="17755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688EF6D6-AAA3-D741-9513-4AEF156189A6}"/>
                </a:ext>
              </a:extLst>
            </xdr:cNvPr>
            <xdr:cNvSpPr txBox="1"/>
          </xdr:nvSpPr>
          <xdr:spPr>
            <a:xfrm>
              <a:off x="17755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10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0000000-0008-0000-0C00-000023000000}"/>
                </a:ext>
              </a:extLst>
            </xdr:cNvPr>
            <xdr:cNvSpPr txBox="1"/>
          </xdr:nvSpPr>
          <xdr:spPr>
            <a:xfrm>
              <a:off x="26098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9F4C652E-CBFF-0349-93FC-8C8F26DDC93D}"/>
                </a:ext>
              </a:extLst>
            </xdr:cNvPr>
            <xdr:cNvSpPr txBox="1"/>
          </xdr:nvSpPr>
          <xdr:spPr>
            <a:xfrm>
              <a:off x="26098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10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SpPr txBox="1"/>
          </xdr:nvSpPr>
          <xdr:spPr>
            <a:xfrm>
              <a:off x="34607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168577D5-5430-034E-8D3B-A88320B99034}"/>
                </a:ext>
              </a:extLst>
            </xdr:cNvPr>
            <xdr:cNvSpPr txBox="1"/>
          </xdr:nvSpPr>
          <xdr:spPr>
            <a:xfrm>
              <a:off x="34607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10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0000000-0008-0000-0C00-000025000000}"/>
                </a:ext>
              </a:extLst>
            </xdr:cNvPr>
            <xdr:cNvSpPr txBox="1"/>
          </xdr:nvSpPr>
          <xdr:spPr>
            <a:xfrm>
              <a:off x="9144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637D545E-9BCD-B44A-8883-40E5B27B19E8}"/>
                </a:ext>
              </a:extLst>
            </xdr:cNvPr>
            <xdr:cNvSpPr txBox="1"/>
          </xdr:nvSpPr>
          <xdr:spPr>
            <a:xfrm>
              <a:off x="9144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10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00000000-0008-0000-0C00-000026000000}"/>
                </a:ext>
              </a:extLst>
            </xdr:cNvPr>
            <xdr:cNvSpPr txBox="1"/>
          </xdr:nvSpPr>
          <xdr:spPr>
            <a:xfrm>
              <a:off x="4344307" y="7402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29E60352-276E-7746-962D-820E16921AA2}"/>
                </a:ext>
              </a:extLst>
            </xdr:cNvPr>
            <xdr:cNvSpPr txBox="1"/>
          </xdr:nvSpPr>
          <xdr:spPr>
            <a:xfrm>
              <a:off x="4344307" y="7402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10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00000000-0008-0000-0C00-000027000000}"/>
                </a:ext>
              </a:extLst>
            </xdr:cNvPr>
            <xdr:cNvSpPr txBox="1"/>
          </xdr:nvSpPr>
          <xdr:spPr>
            <a:xfrm>
              <a:off x="5149850" y="7326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5E6B398A-09F7-6A4C-9E53-842E58C2CC4E}"/>
                </a:ext>
              </a:extLst>
            </xdr:cNvPr>
            <xdr:cNvSpPr txBox="1"/>
          </xdr:nvSpPr>
          <xdr:spPr>
            <a:xfrm>
              <a:off x="5149850" y="7326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10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5">
              <a:extLst>
                <a:ext uri="{FF2B5EF4-FFF2-40B4-BE49-F238E27FC236}">
                  <a16:creationId xmlns:a16="http://schemas.microsoft.com/office/drawing/2014/main" id="{00000000-0008-0000-0C00-000028000000}"/>
                </a:ext>
              </a:extLst>
            </xdr:cNvPr>
            <xdr:cNvSpPr txBox="1"/>
          </xdr:nvSpPr>
          <xdr:spPr>
            <a:xfrm>
              <a:off x="6881888" y="7305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0" name="CuadroTexto 5">
              <a:extLst>
                <a:ext uri="{FF2B5EF4-FFF2-40B4-BE49-F238E27FC236}">
                  <a16:creationId xmlns:a16="http://schemas.microsoft.com/office/drawing/2014/main" id="{9C029539-EE74-1B4A-8120-6CE96C4D3FE6}"/>
                </a:ext>
              </a:extLst>
            </xdr:cNvPr>
            <xdr:cNvSpPr txBox="1"/>
          </xdr:nvSpPr>
          <xdr:spPr>
            <a:xfrm>
              <a:off x="6881888" y="7305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38100</xdr:colOff>
      <xdr:row>10</xdr:row>
      <xdr:rowOff>139700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00000000-0008-0000-0C00-000029000000}"/>
                </a:ext>
              </a:extLst>
            </xdr:cNvPr>
            <xdr:cNvSpPr txBox="1"/>
          </xdr:nvSpPr>
          <xdr:spPr>
            <a:xfrm>
              <a:off x="5816600" y="7493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1" name="CuadroTexto 5">
              <a:extLst>
                <a:ext uri="{FF2B5EF4-FFF2-40B4-BE49-F238E27FC236}">
                  <a16:creationId xmlns:a16="http://schemas.microsoft.com/office/drawing/2014/main" id="{321CDC67-EF01-4343-848F-9D9C44CC3F0B}"/>
                </a:ext>
              </a:extLst>
            </xdr:cNvPr>
            <xdr:cNvSpPr txBox="1"/>
          </xdr:nvSpPr>
          <xdr:spPr>
            <a:xfrm>
              <a:off x="5816600" y="7493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132141</xdr:colOff>
      <xdr:row>10</xdr:row>
      <xdr:rowOff>115812</xdr:rowOff>
    </xdr:from>
    <xdr:ext cx="755015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00000000-0008-0000-0C00-00002A000000}"/>
                </a:ext>
              </a:extLst>
            </xdr:cNvPr>
            <xdr:cNvSpPr txBox="1"/>
          </xdr:nvSpPr>
          <xdr:spPr>
            <a:xfrm>
              <a:off x="7714041" y="7254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FEA25AA7-D813-D346-8150-7D12D4AB304C}"/>
                </a:ext>
              </a:extLst>
            </xdr:cNvPr>
            <xdr:cNvSpPr txBox="1"/>
          </xdr:nvSpPr>
          <xdr:spPr>
            <a:xfrm>
              <a:off x="7714041" y="7254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10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00000000-0008-0000-0C00-00002B000000}"/>
                </a:ext>
              </a:extLst>
            </xdr:cNvPr>
            <xdr:cNvSpPr txBox="1"/>
          </xdr:nvSpPr>
          <xdr:spPr>
            <a:xfrm>
              <a:off x="101067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43" name="CuadroTexto 5">
              <a:extLst>
                <a:ext uri="{FF2B5EF4-FFF2-40B4-BE49-F238E27FC236}">
                  <a16:creationId xmlns:a16="http://schemas.microsoft.com/office/drawing/2014/main" id="{42048430-16E4-794D-83DD-E90CA5EA6E06}"/>
                </a:ext>
              </a:extLst>
            </xdr:cNvPr>
            <xdr:cNvSpPr txBox="1"/>
          </xdr:nvSpPr>
          <xdr:spPr>
            <a:xfrm>
              <a:off x="10106707" y="6557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10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00000000-0008-0000-0C00-00002C000000}"/>
                </a:ext>
              </a:extLst>
            </xdr:cNvPr>
            <xdr:cNvSpPr txBox="1"/>
          </xdr:nvSpPr>
          <xdr:spPr>
            <a:xfrm>
              <a:off x="109410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8606BD79-8423-0446-9085-A140F953FBB7}"/>
                </a:ext>
              </a:extLst>
            </xdr:cNvPr>
            <xdr:cNvSpPr txBox="1"/>
          </xdr:nvSpPr>
          <xdr:spPr>
            <a:xfrm>
              <a:off x="10941050" y="6540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10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00000000-0008-0000-0C00-00002D000000}"/>
                </a:ext>
              </a:extLst>
            </xdr:cNvPr>
            <xdr:cNvSpPr txBox="1"/>
          </xdr:nvSpPr>
          <xdr:spPr>
            <a:xfrm>
              <a:off x="117919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7A12DADC-E16C-FA48-A4A4-A3848E73A7AF}"/>
                </a:ext>
              </a:extLst>
            </xdr:cNvPr>
            <xdr:cNvSpPr txBox="1"/>
          </xdr:nvSpPr>
          <xdr:spPr>
            <a:xfrm>
              <a:off x="11791950" y="7366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10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00000000-0008-0000-0C00-00002E000000}"/>
                </a:ext>
              </a:extLst>
            </xdr:cNvPr>
            <xdr:cNvSpPr txBox="1"/>
          </xdr:nvSpPr>
          <xdr:spPr>
            <a:xfrm>
              <a:off x="92456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2F30E2D8-8E0E-2E46-8F0D-3458FE823BD4}"/>
                </a:ext>
              </a:extLst>
            </xdr:cNvPr>
            <xdr:cNvSpPr txBox="1"/>
          </xdr:nvSpPr>
          <xdr:spPr>
            <a:xfrm>
              <a:off x="9245600" y="7302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10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00000000-0008-0000-0C00-00002F000000}"/>
                </a:ext>
              </a:extLst>
            </xdr:cNvPr>
            <xdr:cNvSpPr txBox="1"/>
          </xdr:nvSpPr>
          <xdr:spPr>
            <a:xfrm>
              <a:off x="12675508" y="7251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47BA3DAA-CB3E-7F4F-9D8F-1578B9093123}"/>
                </a:ext>
              </a:extLst>
            </xdr:cNvPr>
            <xdr:cNvSpPr txBox="1"/>
          </xdr:nvSpPr>
          <xdr:spPr>
            <a:xfrm>
              <a:off x="12675508" y="7251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10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00000000-0008-0000-0C00-000030000000}"/>
                </a:ext>
              </a:extLst>
            </xdr:cNvPr>
            <xdr:cNvSpPr txBox="1"/>
          </xdr:nvSpPr>
          <xdr:spPr>
            <a:xfrm>
              <a:off x="13481050" y="7251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F403B6F5-7B33-F246-93C9-DFFA130D3F0E}"/>
                </a:ext>
              </a:extLst>
            </xdr:cNvPr>
            <xdr:cNvSpPr txBox="1"/>
          </xdr:nvSpPr>
          <xdr:spPr>
            <a:xfrm>
              <a:off x="13481050" y="7251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10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0000000-0008-0000-0C00-000031000000}"/>
                </a:ext>
              </a:extLst>
            </xdr:cNvPr>
            <xdr:cNvSpPr txBox="1"/>
          </xdr:nvSpPr>
          <xdr:spPr>
            <a:xfrm>
              <a:off x="15213088" y="7305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59E8FA98-D11C-AB4C-B4D4-3539EED579F9}"/>
                </a:ext>
              </a:extLst>
            </xdr:cNvPr>
            <xdr:cNvSpPr txBox="1"/>
          </xdr:nvSpPr>
          <xdr:spPr>
            <a:xfrm>
              <a:off x="15213088" y="7305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10</xdr:row>
      <xdr:rowOff>114300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00000000-0008-0000-0C00-000032000000}"/>
                </a:ext>
              </a:extLst>
            </xdr:cNvPr>
            <xdr:cNvSpPr txBox="1"/>
          </xdr:nvSpPr>
          <xdr:spPr>
            <a:xfrm>
              <a:off x="14173200" y="7239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0" name="CuadroTexto 5">
              <a:extLst>
                <a:ext uri="{FF2B5EF4-FFF2-40B4-BE49-F238E27FC236}">
                  <a16:creationId xmlns:a16="http://schemas.microsoft.com/office/drawing/2014/main" id="{85C0EBB9-BBAE-C047-A421-892FB625CEAC}"/>
                </a:ext>
              </a:extLst>
            </xdr:cNvPr>
            <xdr:cNvSpPr txBox="1"/>
          </xdr:nvSpPr>
          <xdr:spPr>
            <a:xfrm>
              <a:off x="14173200" y="7239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10</xdr:row>
      <xdr:rowOff>115812</xdr:rowOff>
    </xdr:from>
    <xdr:ext cx="758606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00000000-0008-0000-0C00-000033000000}"/>
                </a:ext>
              </a:extLst>
            </xdr:cNvPr>
            <xdr:cNvSpPr txBox="1"/>
          </xdr:nvSpPr>
          <xdr:spPr>
            <a:xfrm>
              <a:off x="16079107" y="7254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86566468-2E80-3845-9EEA-1FC819AA72F4}"/>
                </a:ext>
              </a:extLst>
            </xdr:cNvPr>
            <xdr:cNvSpPr txBox="1"/>
          </xdr:nvSpPr>
          <xdr:spPr>
            <a:xfrm>
              <a:off x="16079107" y="7254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190500</xdr:colOff>
      <xdr:row>9</xdr:row>
      <xdr:rowOff>12700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C00-000035000000}"/>
                </a:ext>
              </a:extLst>
            </xdr:cNvPr>
            <xdr:cNvSpPr txBox="1"/>
          </xdr:nvSpPr>
          <xdr:spPr>
            <a:xfrm>
              <a:off x="15278100" y="22860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74B9F638-8CEB-B749-95F3-E0B1A07EE79E}"/>
                </a:ext>
              </a:extLst>
            </xdr:cNvPr>
            <xdr:cNvSpPr txBox="1"/>
          </xdr:nvSpPr>
          <xdr:spPr>
            <a:xfrm>
              <a:off x="15278100" y="22860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17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00000000-0008-0000-0C00-000038000000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2DDAADE7-3518-FA4A-BA31-6A5399276E14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17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C00-000039000000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4BC571AA-AAE1-D44B-B7A8-2F4D46E61103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17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00000000-0008-0000-0C00-00003A000000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82114894-8ED3-134A-8033-D4B215C036C0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17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00000000-0008-0000-0C00-00003B000000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CC486337-0D69-0C42-B444-78603F643E49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17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00000000-0008-0000-0C00-00003C000000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4F2AE66C-1F18-6643-B7BE-CB32E184091C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17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00000000-0008-0000-0C00-00003D000000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EB4DB382-E75D-D241-8F6C-4C880B3C8A08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17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C00-00003E000000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A570487C-A615-9C42-8700-0C5196765BCC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38100</xdr:colOff>
      <xdr:row>17</xdr:row>
      <xdr:rowOff>139700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00000000-0008-0000-0C00-00003F000000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7D40F89F-D077-374A-ACEF-41AEEEFF9B1D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132141</xdr:colOff>
      <xdr:row>17</xdr:row>
      <xdr:rowOff>115812</xdr:rowOff>
    </xdr:from>
    <xdr:ext cx="755015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00000000-0008-0000-0C00-000040000000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436DC7FD-771F-5340-BFF9-EB262664D8D5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17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00000000-0008-0000-0C00-000041000000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2300CA56-9771-034E-AE47-9EFB79BA05F6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17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00000000-0008-0000-0C00-000042000000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E5B4C1E4-1E07-3A43-8D26-F2126E00D57C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17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00000000-0008-0000-0C00-000043000000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DD57CFE9-E7BB-0D48-840D-248D33A86C15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17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00000000-0008-0000-0C00-000044000000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4B2A3E5C-79D9-B145-ACC1-259458FF401B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17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00000000-0008-0000-0C00-000045000000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337B9643-BDA7-8E47-8B25-A6452908BE9E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17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00000000-0008-0000-0C00-000046000000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800930C2-0528-5E47-BFC3-195D3F009A34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17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00000000-0008-0000-0C00-000047000000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6DC02AB6-5B47-4146-AEFD-3B54B1B47C10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17</xdr:row>
      <xdr:rowOff>114300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00000000-0008-0000-0C00-000048000000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7E543211-577A-3B4D-ACBA-4FFF7159D3C5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17</xdr:row>
      <xdr:rowOff>115812</xdr:rowOff>
    </xdr:from>
    <xdr:ext cx="758606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00000000-0008-0000-0C00-000049000000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6AE0684F-F8F3-F449-9914-99E87C3A77B1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24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00000000-0008-0000-0C00-00004E000000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DFB3AEC1-C091-F945-A221-B8F4166DCE18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24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00000000-0008-0000-0C00-00004F000000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F9B69922-1DEB-304C-B0B9-1F6D6E841AE0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24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00000000-0008-0000-0C00-000050000000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CBEBD118-8393-AE48-BDAC-59FE7968F565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24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00000000-0008-0000-0C00-000051000000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F9C23E48-AED1-134E-865A-0F1FC252014E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24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C00-000052000000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1CD8A66F-A755-C441-8A68-2346A0E394A1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24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00000000-0008-0000-0C00-000053000000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48668566-1A79-9A41-A099-147B345D10A1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24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00000000-0008-0000-0C00-000054000000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CA3FF432-5762-074B-8B3B-E01841C38CE0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38100</xdr:colOff>
      <xdr:row>24</xdr:row>
      <xdr:rowOff>139700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00000000-0008-0000-0C00-000055000000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BA30BDAF-9237-064B-B0F9-5BE9382DAF29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132141</xdr:colOff>
      <xdr:row>24</xdr:row>
      <xdr:rowOff>115812</xdr:rowOff>
    </xdr:from>
    <xdr:ext cx="755015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00000000-0008-0000-0C00-000056000000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29962C1C-AC6A-9344-9F7D-ADDBB58F21F2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24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00000000-0008-0000-0C00-000057000000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6CCBFF25-6862-DC46-A67B-4F081242A0D5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24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00000000-0008-0000-0C00-000058000000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6107009F-798B-CE42-97C2-D81DA5CAB631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24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00000000-0008-0000-0C00-000059000000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78CC6A5C-17F8-554F-B962-DB3DCAA6A59E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24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00000000-0008-0000-0C00-00005A000000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24A96C52-C3F8-284A-9FD7-5A50945C1431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24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00000000-0008-0000-0C00-00005B000000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596B3390-50CA-E443-A7E3-6E287D313E65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24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C00-00005C000000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60A90C67-D094-D842-B682-3911E5658E17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24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00000000-0008-0000-0C00-00005D000000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0E6B3651-7E21-8046-8FAD-A856740B6A1A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24</xdr:row>
      <xdr:rowOff>114300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0000000-0008-0000-0C00-00005E000000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65610670-73F9-8348-BE39-2334E7E57FF8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24</xdr:row>
      <xdr:rowOff>115812</xdr:rowOff>
    </xdr:from>
    <xdr:ext cx="758606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00000000-0008-0000-0C00-00005F000000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5" name="CuadroTexto 5">
              <a:extLst>
                <a:ext uri="{FF2B5EF4-FFF2-40B4-BE49-F238E27FC236}">
                  <a16:creationId xmlns:a16="http://schemas.microsoft.com/office/drawing/2014/main" id="{E5EEEC85-E3AC-9F4B-A9E0-8308B8CC7D62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254000</xdr:colOff>
      <xdr:row>30</xdr:row>
      <xdr:rowOff>12700</xdr:rowOff>
    </xdr:from>
    <xdr:ext cx="483979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00000000-0008-0000-0C00-000063000000}"/>
                </a:ext>
              </a:extLst>
            </xdr:cNvPr>
            <xdr:cNvSpPr txBox="1"/>
          </xdr:nvSpPr>
          <xdr:spPr>
            <a:xfrm>
              <a:off x="15341600" y="22860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9" name="CuadroTexto 5">
              <a:extLst>
                <a:ext uri="{FF2B5EF4-FFF2-40B4-BE49-F238E27FC236}">
                  <a16:creationId xmlns:a16="http://schemas.microsoft.com/office/drawing/2014/main" id="{1EAD0770-838F-CF42-87B3-9E350833FEB6}"/>
                </a:ext>
              </a:extLst>
            </xdr:cNvPr>
            <xdr:cNvSpPr txBox="1"/>
          </xdr:nvSpPr>
          <xdr:spPr>
            <a:xfrm>
              <a:off x="15341600" y="2286000"/>
              <a:ext cx="483979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𝑆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2</xdr:col>
      <xdr:colOff>124507</xdr:colOff>
      <xdr:row>31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00000000-0008-0000-0C00-000064000000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100" name="CuadroTexto 5">
              <a:extLst>
                <a:ext uri="{FF2B5EF4-FFF2-40B4-BE49-F238E27FC236}">
                  <a16:creationId xmlns:a16="http://schemas.microsoft.com/office/drawing/2014/main" id="{F95F329C-E65B-944A-8FC8-FE5DD779C80A}"/>
                </a:ext>
              </a:extLst>
            </xdr:cNvPr>
            <xdr:cNvSpPr txBox="1"/>
          </xdr:nvSpPr>
          <xdr:spPr>
            <a:xfrm>
              <a:off x="17755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3</xdr:col>
      <xdr:colOff>133350</xdr:colOff>
      <xdr:row>31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00000000-0008-0000-0C00-000065000000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7759E8DA-5192-104D-B600-578065DE9A03}"/>
                </a:ext>
              </a:extLst>
            </xdr:cNvPr>
            <xdr:cNvSpPr txBox="1"/>
          </xdr:nvSpPr>
          <xdr:spPr>
            <a:xfrm>
              <a:off x="26098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4</xdr:col>
      <xdr:colOff>158750</xdr:colOff>
      <xdr:row>31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00000000-0008-0000-0C00-000066000000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2" name="CuadroTexto 5">
              <a:extLst>
                <a:ext uri="{FF2B5EF4-FFF2-40B4-BE49-F238E27FC236}">
                  <a16:creationId xmlns:a16="http://schemas.microsoft.com/office/drawing/2014/main" id="{B047364D-6E05-1F46-A531-2A77ACFDB1B0}"/>
                </a:ext>
              </a:extLst>
            </xdr:cNvPr>
            <xdr:cNvSpPr txBox="1"/>
          </xdr:nvSpPr>
          <xdr:spPr>
            <a:xfrm>
              <a:off x="34607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88900</xdr:colOff>
      <xdr:row>31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00000000-0008-0000-0C00-000067000000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3" name="CuadroTexto 5">
              <a:extLst>
                <a:ext uri="{FF2B5EF4-FFF2-40B4-BE49-F238E27FC236}">
                  <a16:creationId xmlns:a16="http://schemas.microsoft.com/office/drawing/2014/main" id="{59501519-2E70-CF45-B813-E7DC7B83297D}"/>
                </a:ext>
              </a:extLst>
            </xdr:cNvPr>
            <xdr:cNvSpPr txBox="1"/>
          </xdr:nvSpPr>
          <xdr:spPr>
            <a:xfrm>
              <a:off x="9144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216807</xdr:colOff>
      <xdr:row>31</xdr:row>
      <xdr:rowOff>130629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00000000-0008-0000-0C00-000068000000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4" name="CuadroTexto 5">
              <a:extLst>
                <a:ext uri="{FF2B5EF4-FFF2-40B4-BE49-F238E27FC236}">
                  <a16:creationId xmlns:a16="http://schemas.microsoft.com/office/drawing/2014/main" id="{421315C1-F7A2-4A4C-866D-D1C2F9004760}"/>
                </a:ext>
              </a:extLst>
            </xdr:cNvPr>
            <xdr:cNvSpPr txBox="1"/>
          </xdr:nvSpPr>
          <xdr:spPr>
            <a:xfrm>
              <a:off x="4344307" y="260712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6</xdr:col>
      <xdr:colOff>196850</xdr:colOff>
      <xdr:row>31</xdr:row>
      <xdr:rowOff>123069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00000000-0008-0000-0C00-000069000000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5" name="CuadroTexto 5">
              <a:extLst>
                <a:ext uri="{FF2B5EF4-FFF2-40B4-BE49-F238E27FC236}">
                  <a16:creationId xmlns:a16="http://schemas.microsoft.com/office/drawing/2014/main" id="{7FE051D4-B49F-104F-94AE-E5BA759750EB}"/>
                </a:ext>
              </a:extLst>
            </xdr:cNvPr>
            <xdr:cNvSpPr txBox="1"/>
          </xdr:nvSpPr>
          <xdr:spPr>
            <a:xfrm>
              <a:off x="5149850" y="259956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8</xdr:col>
      <xdr:colOff>125488</xdr:colOff>
      <xdr:row>31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00000000-0008-0000-0C00-00006A000000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6" name="CuadroTexto 5">
              <a:extLst>
                <a:ext uri="{FF2B5EF4-FFF2-40B4-BE49-F238E27FC236}">
                  <a16:creationId xmlns:a16="http://schemas.microsoft.com/office/drawing/2014/main" id="{A35140FD-A6FC-5444-A318-073FA1DB2C35}"/>
                </a:ext>
              </a:extLst>
            </xdr:cNvPr>
            <xdr:cNvSpPr txBox="1"/>
          </xdr:nvSpPr>
          <xdr:spPr>
            <a:xfrm>
              <a:off x="68818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7</xdr:col>
      <xdr:colOff>38100</xdr:colOff>
      <xdr:row>31</xdr:row>
      <xdr:rowOff>139700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00000000-0008-0000-0C00-00006B000000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7" name="CuadroTexto 5">
              <a:extLst>
                <a:ext uri="{FF2B5EF4-FFF2-40B4-BE49-F238E27FC236}">
                  <a16:creationId xmlns:a16="http://schemas.microsoft.com/office/drawing/2014/main" id="{CA0F00D0-48D8-EC48-8985-2348C53F0A9E}"/>
                </a:ext>
              </a:extLst>
            </xdr:cNvPr>
            <xdr:cNvSpPr txBox="1"/>
          </xdr:nvSpPr>
          <xdr:spPr>
            <a:xfrm>
              <a:off x="5816600" y="26162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9</xdr:col>
      <xdr:colOff>132141</xdr:colOff>
      <xdr:row>31</xdr:row>
      <xdr:rowOff>115812</xdr:rowOff>
    </xdr:from>
    <xdr:ext cx="755015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00000000-0008-0000-0C00-00006C000000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08" name="CuadroTexto 5">
              <a:extLst>
                <a:ext uri="{FF2B5EF4-FFF2-40B4-BE49-F238E27FC236}">
                  <a16:creationId xmlns:a16="http://schemas.microsoft.com/office/drawing/2014/main" id="{4C4C5CC6-9EC9-5A48-BB6E-257A5985F02D}"/>
                </a:ext>
              </a:extLst>
            </xdr:cNvPr>
            <xdr:cNvSpPr txBox="1"/>
          </xdr:nvSpPr>
          <xdr:spPr>
            <a:xfrm>
              <a:off x="7714041" y="2592312"/>
              <a:ext cx="755015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〖𝑅′〗_(1,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12</xdr:col>
      <xdr:colOff>124507</xdr:colOff>
      <xdr:row>31</xdr:row>
      <xdr:rowOff>46111</xdr:rowOff>
    </xdr:from>
    <xdr:ext cx="574196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00000000-0008-0000-0C00-00006D000000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(receptor)</a:t>
              </a:r>
            </a:p>
          </xdr:txBody>
        </xdr:sp>
      </mc:Choice>
      <mc:Fallback xmlns="">
        <xdr:sp macro="" textlink="">
          <xdr:nvSpPr>
            <xdr:cNvPr id="109" name="CuadroTexto 5">
              <a:extLst>
                <a:ext uri="{FF2B5EF4-FFF2-40B4-BE49-F238E27FC236}">
                  <a16:creationId xmlns:a16="http://schemas.microsoft.com/office/drawing/2014/main" id="{DF922243-077E-6C4E-8486-0A2AEB36DEEF}"/>
                </a:ext>
              </a:extLst>
            </xdr:cNvPr>
            <xdr:cNvSpPr txBox="1"/>
          </xdr:nvSpPr>
          <xdr:spPr>
            <a:xfrm>
              <a:off x="10106707" y="2522611"/>
              <a:ext cx="574196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2  (𝑑𝐵)</a:t>
              </a:r>
              <a:endParaRPr lang="es-ES" sz="1200" b="0" i="1"/>
            </a:p>
            <a:p>
              <a:pPr/>
              <a:r>
                <a:rPr lang="es-ES_tradnl" sz="1100" i="1"/>
                <a:t>(receptor)</a:t>
              </a:r>
            </a:p>
          </xdr:txBody>
        </xdr:sp>
      </mc:Fallback>
    </mc:AlternateContent>
    <xdr:clientData/>
  </xdr:oneCellAnchor>
  <xdr:oneCellAnchor>
    <xdr:from>
      <xdr:col>13</xdr:col>
      <xdr:colOff>133350</xdr:colOff>
      <xdr:row>31</xdr:row>
      <xdr:rowOff>44450</xdr:rowOff>
    </xdr:from>
    <xdr:ext cx="598369" cy="360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00000000-0008-0000-0C00-00006E000000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  <a:p>
              <a:r>
                <a:rPr lang="es-ES_tradnl" sz="1100" i="1"/>
                <a:t>(fuente)</a:t>
              </a:r>
            </a:p>
          </xdr:txBody>
        </xdr:sp>
      </mc:Choice>
      <mc:Fallback xmlns="">
        <xdr:sp macro="" textlink="">
          <xdr:nvSpPr>
            <xdr:cNvPr id="110" name="CuadroTexto 5">
              <a:extLst>
                <a:ext uri="{FF2B5EF4-FFF2-40B4-BE49-F238E27FC236}">
                  <a16:creationId xmlns:a16="http://schemas.microsoft.com/office/drawing/2014/main" id="{F64749DC-7FF8-554D-9455-1AF0015861F0}"/>
                </a:ext>
              </a:extLst>
            </xdr:cNvPr>
            <xdr:cNvSpPr txBox="1"/>
          </xdr:nvSpPr>
          <xdr:spPr>
            <a:xfrm>
              <a:off x="10941050" y="2520950"/>
              <a:ext cx="598369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𝐿</a:t>
              </a:r>
              <a:r>
                <a:rPr lang="es-ES_tradnl" sz="1200" b="0" i="0">
                  <a:latin typeface="Cambria Math" panose="02040503050406030204" pitchFamily="18" charset="0"/>
                </a:rPr>
                <a:t>_</a:t>
              </a:r>
              <a:r>
                <a:rPr lang="es-ES" sz="1200" b="0" i="0">
                  <a:latin typeface="Cambria Math" panose="02040503050406030204" pitchFamily="18" charset="0"/>
                </a:rPr>
                <a:t>1  (𝑑𝐵)</a:t>
              </a:r>
              <a:endParaRPr lang="es-ES" sz="1200" b="0" i="1"/>
            </a:p>
            <a:p>
              <a:pPr/>
              <a:r>
                <a:rPr lang="es-ES_tradnl" sz="1100" i="1"/>
                <a:t>(fuente)</a:t>
              </a:r>
            </a:p>
          </xdr:txBody>
        </xdr:sp>
      </mc:Fallback>
    </mc:AlternateContent>
    <xdr:clientData/>
  </xdr:oneCellAnchor>
  <xdr:oneCellAnchor>
    <xdr:from>
      <xdr:col>14</xdr:col>
      <xdr:colOff>158750</xdr:colOff>
      <xdr:row>31</xdr:row>
      <xdr:rowOff>127000</xdr:rowOff>
    </xdr:from>
    <xdr:ext cx="50180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00000000-0008-0000-0C00-00006F000000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1" name="CuadroTexto 5">
              <a:extLst>
                <a:ext uri="{FF2B5EF4-FFF2-40B4-BE49-F238E27FC236}">
                  <a16:creationId xmlns:a16="http://schemas.microsoft.com/office/drawing/2014/main" id="{532CD8F0-E967-4644-838C-1A4F3C87D66D}"/>
                </a:ext>
              </a:extLst>
            </xdr:cNvPr>
            <xdr:cNvSpPr txBox="1"/>
          </xdr:nvSpPr>
          <xdr:spPr>
            <a:xfrm>
              <a:off x="11791950" y="2603500"/>
              <a:ext cx="50180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88900</xdr:colOff>
      <xdr:row>31</xdr:row>
      <xdr:rowOff>120650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00000000-0008-0000-0C00-000070000000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2" name="CuadroTexto 5">
              <a:extLst>
                <a:ext uri="{FF2B5EF4-FFF2-40B4-BE49-F238E27FC236}">
                  <a16:creationId xmlns:a16="http://schemas.microsoft.com/office/drawing/2014/main" id="{202073EF-B051-AC44-A0E3-BD35090E4CCD}"/>
                </a:ext>
              </a:extLst>
            </xdr:cNvPr>
            <xdr:cNvSpPr txBox="1"/>
          </xdr:nvSpPr>
          <xdr:spPr>
            <a:xfrm>
              <a:off x="9245600" y="259715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216808</xdr:colOff>
      <xdr:row>31</xdr:row>
      <xdr:rowOff>115509</xdr:rowOff>
    </xdr:from>
    <xdr:ext cx="3657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00000000-0008-0000-0C00-000071000000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3" name="CuadroTexto 5">
              <a:extLst>
                <a:ext uri="{FF2B5EF4-FFF2-40B4-BE49-F238E27FC236}">
                  <a16:creationId xmlns:a16="http://schemas.microsoft.com/office/drawing/2014/main" id="{4E0E4A78-A304-A44D-89ED-11FF61A5A47D}"/>
                </a:ext>
              </a:extLst>
            </xdr:cNvPr>
            <xdr:cNvSpPr txBox="1"/>
          </xdr:nvSpPr>
          <xdr:spPr>
            <a:xfrm>
              <a:off x="12675508" y="2592009"/>
              <a:ext cx="3657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196850</xdr:colOff>
      <xdr:row>31</xdr:row>
      <xdr:rowOff>115509</xdr:rowOff>
    </xdr:from>
    <xdr:ext cx="41722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00000000-0008-0000-0C00-000072000000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4" name="CuadroTexto 5">
              <a:extLst>
                <a:ext uri="{FF2B5EF4-FFF2-40B4-BE49-F238E27FC236}">
                  <a16:creationId xmlns:a16="http://schemas.microsoft.com/office/drawing/2014/main" id="{87DDE3A7-8CF5-204F-B0B3-4927381AF6A8}"/>
                </a:ext>
              </a:extLst>
            </xdr:cNvPr>
            <xdr:cNvSpPr txBox="1"/>
          </xdr:nvSpPr>
          <xdr:spPr>
            <a:xfrm>
              <a:off x="13481050" y="2592009"/>
              <a:ext cx="41722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𝑇_0  (𝑠)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18</xdr:col>
      <xdr:colOff>125488</xdr:colOff>
      <xdr:row>31</xdr:row>
      <xdr:rowOff>120952</xdr:rowOff>
    </xdr:from>
    <xdr:ext cx="49847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00000000-0008-0000-0C00-000073000000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5" name="CuadroTexto 5">
              <a:extLst>
                <a:ext uri="{FF2B5EF4-FFF2-40B4-BE49-F238E27FC236}">
                  <a16:creationId xmlns:a16="http://schemas.microsoft.com/office/drawing/2014/main" id="{F59D81EF-48D6-4F46-BFAF-895D02AB55CF}"/>
                </a:ext>
              </a:extLst>
            </xdr:cNvPr>
            <xdr:cNvSpPr txBox="1"/>
          </xdr:nvSpPr>
          <xdr:spPr>
            <a:xfrm>
              <a:off x="15213088" y="2597452"/>
              <a:ext cx="49847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𝐴 (𝑚^2 )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63500</xdr:colOff>
      <xdr:row>31</xdr:row>
      <xdr:rowOff>114300</xdr:rowOff>
    </xdr:from>
    <xdr:ext cx="886718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00000000-0008-0000-0C00-000074000000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,2,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6" name="CuadroTexto 5">
              <a:extLst>
                <a:ext uri="{FF2B5EF4-FFF2-40B4-BE49-F238E27FC236}">
                  <a16:creationId xmlns:a16="http://schemas.microsoft.com/office/drawing/2014/main" id="{A79BBB1E-BFA6-9D47-B7FB-237ED0E98707}"/>
                </a:ext>
              </a:extLst>
            </xdr:cNvPr>
            <xdr:cNvSpPr txBox="1"/>
          </xdr:nvSpPr>
          <xdr:spPr>
            <a:xfrm>
              <a:off x="14173200" y="2590800"/>
              <a:ext cx="886718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𝐷_(𝑛𝑇,2, 𝐿𝐹)  (𝑑𝐵)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19</xdr:col>
      <xdr:colOff>166007</xdr:colOff>
      <xdr:row>31</xdr:row>
      <xdr:rowOff>115812</xdr:rowOff>
    </xdr:from>
    <xdr:ext cx="758606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00000000-0008-0000-0C00-000075000000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𝐿𝐹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𝑑𝐵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117" name="CuadroTexto 5">
              <a:extLst>
                <a:ext uri="{FF2B5EF4-FFF2-40B4-BE49-F238E27FC236}">
                  <a16:creationId xmlns:a16="http://schemas.microsoft.com/office/drawing/2014/main" id="{561ED944-D07D-EE4E-8576-012B1D6142B4}"/>
                </a:ext>
              </a:extLst>
            </xdr:cNvPr>
            <xdr:cNvSpPr txBox="1"/>
          </xdr:nvSpPr>
          <xdr:spPr>
            <a:xfrm>
              <a:off x="16079107" y="2592312"/>
              <a:ext cx="758606" cy="193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〖𝑅′〗_(2, 𝐿𝐹)  (𝑑𝐵)</a:t>
              </a:r>
              <a:endParaRPr lang="es-ES" sz="1200" b="0" i="1"/>
            </a:p>
          </xdr:txBody>
        </xdr:sp>
      </mc:Fallback>
    </mc:AlternateContent>
    <xdr:clientData/>
  </xdr:oneCell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0.055</cdr:x>
      <cdr:y>0.88429</cdr:y>
    </cdr:from>
    <cdr:to>
      <cdr:x>0.17899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751565" y="5318989"/>
          <a:ext cx="1694224" cy="342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50                                                                                                                                                                                                                63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                                                                                                                                                                                  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</a:t>
          </a:r>
          <a:endParaRPr lang="es-ES_tradnl" sz="900" b="0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826202</xdr:colOff>
      <xdr:row>12</xdr:row>
      <xdr:rowOff>199185</xdr:rowOff>
    </xdr:from>
    <xdr:to>
      <xdr:col>15</xdr:col>
      <xdr:colOff>650711</xdr:colOff>
      <xdr:row>34</xdr:row>
      <xdr:rowOff>140815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241300</xdr:colOff>
      <xdr:row>2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00000000-0008-0000-0D00-000013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2203B2EF-E935-8546-AEE1-D47A81D9ED54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2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8">
              <a:extLst>
                <a:ext uri="{FF2B5EF4-FFF2-40B4-BE49-F238E27FC236}">
                  <a16:creationId xmlns:a16="http://schemas.microsoft.com/office/drawing/2014/main" id="{00000000-0008-0000-0D00-000014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8">
              <a:extLst>
                <a:ext uri="{FF2B5EF4-FFF2-40B4-BE49-F238E27FC236}">
                  <a16:creationId xmlns:a16="http://schemas.microsoft.com/office/drawing/2014/main" id="{78580F0F-8EDF-D646-83B7-A4343633CA24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2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8">
              <a:extLst>
                <a:ext uri="{FF2B5EF4-FFF2-40B4-BE49-F238E27FC236}">
                  <a16:creationId xmlns:a16="http://schemas.microsoft.com/office/drawing/2014/main" id="{00000000-0008-0000-0D00-000015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8">
              <a:extLst>
                <a:ext uri="{FF2B5EF4-FFF2-40B4-BE49-F238E27FC236}">
                  <a16:creationId xmlns:a16="http://schemas.microsoft.com/office/drawing/2014/main" id="{374F9EB9-3ECD-7945-9684-BFA8F2724A84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2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00000000-0008-0000-0D00-000016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C1DD7C85-CC42-734D-8473-894DA7D35CD3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2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8">
              <a:extLst>
                <a:ext uri="{FF2B5EF4-FFF2-40B4-BE49-F238E27FC236}">
                  <a16:creationId xmlns:a16="http://schemas.microsoft.com/office/drawing/2014/main" id="{00000000-0008-0000-0D00-000017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8">
              <a:extLst>
                <a:ext uri="{FF2B5EF4-FFF2-40B4-BE49-F238E27FC236}">
                  <a16:creationId xmlns:a16="http://schemas.microsoft.com/office/drawing/2014/main" id="{E31C6B42-95A9-A941-9D0F-3223D991D086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11</xdr:col>
      <xdr:colOff>241300</xdr:colOff>
      <xdr:row>2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D00-000018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A460B6F0-B805-D644-9C1D-381848C2FB3B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198494</xdr:colOff>
      <xdr:row>2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8">
              <a:extLst>
                <a:ext uri="{FF2B5EF4-FFF2-40B4-BE49-F238E27FC236}">
                  <a16:creationId xmlns:a16="http://schemas.microsoft.com/office/drawing/2014/main" id="{00000000-0008-0000-0D00-000019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8">
              <a:extLst>
                <a:ext uri="{FF2B5EF4-FFF2-40B4-BE49-F238E27FC236}">
                  <a16:creationId xmlns:a16="http://schemas.microsoft.com/office/drawing/2014/main" id="{19F5F352-37F4-B84D-86A9-EA6524C785B1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182412</xdr:colOff>
      <xdr:row>2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8">
              <a:extLst>
                <a:ext uri="{FF2B5EF4-FFF2-40B4-BE49-F238E27FC236}">
                  <a16:creationId xmlns:a16="http://schemas.microsoft.com/office/drawing/2014/main" id="{00000000-0008-0000-0D00-00001A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8">
              <a:extLst>
                <a:ext uri="{FF2B5EF4-FFF2-40B4-BE49-F238E27FC236}">
                  <a16:creationId xmlns:a16="http://schemas.microsoft.com/office/drawing/2014/main" id="{479242D9-67DD-5146-AC23-9ACC6039C9EC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44743</xdr:colOff>
      <xdr:row>2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00000000-0008-0000-0D00-00001B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2E411433-BA1E-3B42-8283-00BAB05AFC2C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302872</xdr:colOff>
      <xdr:row>2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8">
              <a:extLst>
                <a:ext uri="{FF2B5EF4-FFF2-40B4-BE49-F238E27FC236}">
                  <a16:creationId xmlns:a16="http://schemas.microsoft.com/office/drawing/2014/main" id="{00000000-0008-0000-0D00-00001C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8">
              <a:extLst>
                <a:ext uri="{FF2B5EF4-FFF2-40B4-BE49-F238E27FC236}">
                  <a16:creationId xmlns:a16="http://schemas.microsoft.com/office/drawing/2014/main" id="{04E80C05-F567-7A47-8DFB-C32630F182DC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241300</xdr:colOff>
      <xdr:row>2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00000000-0008-0000-0D00-00001D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00000000-0008-0000-0D00-00001D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14</xdr:col>
      <xdr:colOff>198494</xdr:colOff>
      <xdr:row>2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00000000-0008-0000-0D00-00001E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8">
              <a:extLst>
                <a:ext uri="{FF2B5EF4-FFF2-40B4-BE49-F238E27FC236}">
                  <a16:creationId xmlns:a16="http://schemas.microsoft.com/office/drawing/2014/main" id="{00000000-0008-0000-0D00-00001E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182412</xdr:colOff>
      <xdr:row>2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8">
              <a:extLst>
                <a:ext uri="{FF2B5EF4-FFF2-40B4-BE49-F238E27FC236}">
                  <a16:creationId xmlns:a16="http://schemas.microsoft.com/office/drawing/2014/main" id="{00000000-0008-0000-0D00-00001F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8">
              <a:extLst>
                <a:ext uri="{FF2B5EF4-FFF2-40B4-BE49-F238E27FC236}">
                  <a16:creationId xmlns:a16="http://schemas.microsoft.com/office/drawing/2014/main" id="{00000000-0008-0000-0D00-00001F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13</xdr:col>
      <xdr:colOff>44743</xdr:colOff>
      <xdr:row>2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00000000-0008-0000-0D00-000020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2" name="CuadroTexto 5">
              <a:extLst>
                <a:ext uri="{FF2B5EF4-FFF2-40B4-BE49-F238E27FC236}">
                  <a16:creationId xmlns:a16="http://schemas.microsoft.com/office/drawing/2014/main" id="{00000000-0008-0000-0D00-000020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16</xdr:col>
      <xdr:colOff>302872</xdr:colOff>
      <xdr:row>2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8">
              <a:extLst>
                <a:ext uri="{FF2B5EF4-FFF2-40B4-BE49-F238E27FC236}">
                  <a16:creationId xmlns:a16="http://schemas.microsoft.com/office/drawing/2014/main" id="{00000000-0008-0000-0D00-000021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8">
              <a:extLst>
                <a:ext uri="{FF2B5EF4-FFF2-40B4-BE49-F238E27FC236}">
                  <a16:creationId xmlns:a16="http://schemas.microsoft.com/office/drawing/2014/main" id="{00000000-0008-0000-0D00-000021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8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D00-000022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D00-000022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8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8">
              <a:extLst>
                <a:ext uri="{FF2B5EF4-FFF2-40B4-BE49-F238E27FC236}">
                  <a16:creationId xmlns:a16="http://schemas.microsoft.com/office/drawing/2014/main" id="{00000000-0008-0000-0D00-000023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8">
              <a:extLst>
                <a:ext uri="{FF2B5EF4-FFF2-40B4-BE49-F238E27FC236}">
                  <a16:creationId xmlns:a16="http://schemas.microsoft.com/office/drawing/2014/main" id="{00000000-0008-0000-0D00-000023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8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8">
              <a:extLst>
                <a:ext uri="{FF2B5EF4-FFF2-40B4-BE49-F238E27FC236}">
                  <a16:creationId xmlns:a16="http://schemas.microsoft.com/office/drawing/2014/main" id="{00000000-0008-0000-0D00-000024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8">
              <a:extLst>
                <a:ext uri="{FF2B5EF4-FFF2-40B4-BE49-F238E27FC236}">
                  <a16:creationId xmlns:a16="http://schemas.microsoft.com/office/drawing/2014/main" id="{00000000-0008-0000-0D00-000024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8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0000000-0008-0000-0D00-000025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0000000-0008-0000-0D00-000025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8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8">
              <a:extLst>
                <a:ext uri="{FF2B5EF4-FFF2-40B4-BE49-F238E27FC236}">
                  <a16:creationId xmlns:a16="http://schemas.microsoft.com/office/drawing/2014/main" id="{00000000-0008-0000-0D00-000026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8">
              <a:extLst>
                <a:ext uri="{FF2B5EF4-FFF2-40B4-BE49-F238E27FC236}">
                  <a16:creationId xmlns:a16="http://schemas.microsoft.com/office/drawing/2014/main" id="{00000000-0008-0000-0D00-000026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11</xdr:col>
      <xdr:colOff>241300</xdr:colOff>
      <xdr:row>8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00000000-0008-0000-0D00-000027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9" name="CuadroTexto 5">
              <a:extLst>
                <a:ext uri="{FF2B5EF4-FFF2-40B4-BE49-F238E27FC236}">
                  <a16:creationId xmlns:a16="http://schemas.microsoft.com/office/drawing/2014/main" id="{00000000-0008-0000-0D00-000027000000}"/>
                </a:ext>
              </a:extLst>
            </xdr:cNvPr>
            <xdr:cNvSpPr txBox="1"/>
          </xdr:nvSpPr>
          <xdr:spPr>
            <a:xfrm>
              <a:off x="7670800" y="53061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198494</xdr:colOff>
      <xdr:row>8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8">
              <a:extLst>
                <a:ext uri="{FF2B5EF4-FFF2-40B4-BE49-F238E27FC236}">
                  <a16:creationId xmlns:a16="http://schemas.microsoft.com/office/drawing/2014/main" id="{00000000-0008-0000-0D00-000028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8">
              <a:extLst>
                <a:ext uri="{FF2B5EF4-FFF2-40B4-BE49-F238E27FC236}">
                  <a16:creationId xmlns:a16="http://schemas.microsoft.com/office/drawing/2014/main" id="{00000000-0008-0000-0D00-000028000000}"/>
                </a:ext>
              </a:extLst>
            </xdr:cNvPr>
            <xdr:cNvSpPr txBox="1"/>
          </xdr:nvSpPr>
          <xdr:spPr>
            <a:xfrm>
              <a:off x="5151494" y="53172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182412</xdr:colOff>
      <xdr:row>8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8">
              <a:extLst>
                <a:ext uri="{FF2B5EF4-FFF2-40B4-BE49-F238E27FC236}">
                  <a16:creationId xmlns:a16="http://schemas.microsoft.com/office/drawing/2014/main" id="{00000000-0008-0000-0D00-000029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8">
              <a:extLst>
                <a:ext uri="{FF2B5EF4-FFF2-40B4-BE49-F238E27FC236}">
                  <a16:creationId xmlns:a16="http://schemas.microsoft.com/office/drawing/2014/main" id="{00000000-0008-0000-0D00-000029000000}"/>
                </a:ext>
              </a:extLst>
            </xdr:cNvPr>
            <xdr:cNvSpPr txBox="1"/>
          </xdr:nvSpPr>
          <xdr:spPr>
            <a:xfrm>
              <a:off x="5960912" y="53036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44743</xdr:colOff>
      <xdr:row>8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00000000-0008-0000-0D00-00002A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42" name="CuadroTexto 5">
              <a:extLst>
                <a:ext uri="{FF2B5EF4-FFF2-40B4-BE49-F238E27FC236}">
                  <a16:creationId xmlns:a16="http://schemas.microsoft.com/office/drawing/2014/main" id="{00000000-0008-0000-0D00-00002A000000}"/>
                </a:ext>
              </a:extLst>
            </xdr:cNvPr>
            <xdr:cNvSpPr txBox="1"/>
          </xdr:nvSpPr>
          <xdr:spPr>
            <a:xfrm>
              <a:off x="4172243" y="53449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10</xdr:col>
      <xdr:colOff>302872</xdr:colOff>
      <xdr:row>8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8">
              <a:extLst>
                <a:ext uri="{FF2B5EF4-FFF2-40B4-BE49-F238E27FC236}">
                  <a16:creationId xmlns:a16="http://schemas.microsoft.com/office/drawing/2014/main" id="{00000000-0008-0000-0D00-00002B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8">
              <a:extLst>
                <a:ext uri="{FF2B5EF4-FFF2-40B4-BE49-F238E27FC236}">
                  <a16:creationId xmlns:a16="http://schemas.microsoft.com/office/drawing/2014/main" id="{00000000-0008-0000-0D00-00002B000000}"/>
                </a:ext>
              </a:extLst>
            </xdr:cNvPr>
            <xdr:cNvSpPr txBox="1"/>
          </xdr:nvSpPr>
          <xdr:spPr>
            <a:xfrm>
              <a:off x="6906872" y="53311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0.16623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56478" y="4337908"/>
          <a:ext cx="1387066" cy="27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					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					 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endParaRPr lang="es-ES_tradnl" sz="900" b="0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</xdr:colOff>
      <xdr:row>13</xdr:row>
      <xdr:rowOff>79663</xdr:rowOff>
    </xdr:from>
    <xdr:to>
      <xdr:col>15</xdr:col>
      <xdr:colOff>654628</xdr:colOff>
      <xdr:row>36</xdr:row>
      <xdr:rowOff>86454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296863</xdr:colOff>
      <xdr:row>2</xdr:row>
      <xdr:rowOff>84871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0000000-0008-0000-0E00-000031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79E2C3A3-421B-934E-8F12-72A208E7A9B1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284096</xdr:colOff>
      <xdr:row>2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8">
              <a:extLst>
                <a:ext uri="{FF2B5EF4-FFF2-40B4-BE49-F238E27FC236}">
                  <a16:creationId xmlns:a16="http://schemas.microsoft.com/office/drawing/2014/main" id="{00000000-0008-0000-0E00-000032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0" name="CuadroTexto 8">
              <a:extLst>
                <a:ext uri="{FF2B5EF4-FFF2-40B4-BE49-F238E27FC236}">
                  <a16:creationId xmlns:a16="http://schemas.microsoft.com/office/drawing/2014/main" id="{D3A26C1F-4B86-0C4C-9194-459BE2D9A6BF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230391</xdr:colOff>
      <xdr:row>2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9">
              <a:extLst>
                <a:ext uri="{FF2B5EF4-FFF2-40B4-BE49-F238E27FC236}">
                  <a16:creationId xmlns:a16="http://schemas.microsoft.com/office/drawing/2014/main" id="{00000000-0008-0000-0E00-000033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1" name="CuadroTexto 9">
              <a:extLst>
                <a:ext uri="{FF2B5EF4-FFF2-40B4-BE49-F238E27FC236}">
                  <a16:creationId xmlns:a16="http://schemas.microsoft.com/office/drawing/2014/main" id="{A06B61B8-E620-EB40-AE00-C6D90009AA06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79375</xdr:colOff>
      <xdr:row>2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">
              <a:extLst>
                <a:ext uri="{FF2B5EF4-FFF2-40B4-BE49-F238E27FC236}">
                  <a16:creationId xmlns:a16="http://schemas.microsoft.com/office/drawing/2014/main" id="{00000000-0008-0000-0E00-000034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2" name="CuadroTexto 5">
              <a:extLst>
                <a:ext uri="{FF2B5EF4-FFF2-40B4-BE49-F238E27FC236}">
                  <a16:creationId xmlns:a16="http://schemas.microsoft.com/office/drawing/2014/main" id="{84ECE3C5-3E32-3745-AEF1-A151A160CA0A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296863</xdr:colOff>
      <xdr:row>2</xdr:row>
      <xdr:rowOff>84871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E00-000035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F8FABBF7-D56A-D94E-9276-C861D6C1187B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284096</xdr:colOff>
      <xdr:row>2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8">
              <a:extLst>
                <a:ext uri="{FF2B5EF4-FFF2-40B4-BE49-F238E27FC236}">
                  <a16:creationId xmlns:a16="http://schemas.microsoft.com/office/drawing/2014/main" id="{00000000-0008-0000-0E00-000036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4" name="CuadroTexto 8">
              <a:extLst>
                <a:ext uri="{FF2B5EF4-FFF2-40B4-BE49-F238E27FC236}">
                  <a16:creationId xmlns:a16="http://schemas.microsoft.com/office/drawing/2014/main" id="{4BE6FEA1-D4A1-734C-9D90-C64910276B09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230391</xdr:colOff>
      <xdr:row>2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9">
              <a:extLst>
                <a:ext uri="{FF2B5EF4-FFF2-40B4-BE49-F238E27FC236}">
                  <a16:creationId xmlns:a16="http://schemas.microsoft.com/office/drawing/2014/main" id="{00000000-0008-0000-0E00-000037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5" name="CuadroTexto 9">
              <a:extLst>
                <a:ext uri="{FF2B5EF4-FFF2-40B4-BE49-F238E27FC236}">
                  <a16:creationId xmlns:a16="http://schemas.microsoft.com/office/drawing/2014/main" id="{8C079147-FB22-444F-BAA1-1798EC0AE47D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79375</xdr:colOff>
      <xdr:row>2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00000000-0008-0000-0E00-000038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35E822AE-AFB4-8B4F-8E01-3DD795D9BD18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5</xdr:col>
      <xdr:colOff>296863</xdr:colOff>
      <xdr:row>8</xdr:row>
      <xdr:rowOff>84871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00000000-0008-0000-0E00-000039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00000000-0008-0000-0E00-000039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284096</xdr:colOff>
      <xdr:row>8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8">
              <a:extLst>
                <a:ext uri="{FF2B5EF4-FFF2-40B4-BE49-F238E27FC236}">
                  <a16:creationId xmlns:a16="http://schemas.microsoft.com/office/drawing/2014/main" id="{00000000-0008-0000-0E00-00003A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8" name="CuadroTexto 8">
              <a:extLst>
                <a:ext uri="{FF2B5EF4-FFF2-40B4-BE49-F238E27FC236}">
                  <a16:creationId xmlns:a16="http://schemas.microsoft.com/office/drawing/2014/main" id="{00000000-0008-0000-0E00-00003A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230391</xdr:colOff>
      <xdr:row>8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9">
              <a:extLst>
                <a:ext uri="{FF2B5EF4-FFF2-40B4-BE49-F238E27FC236}">
                  <a16:creationId xmlns:a16="http://schemas.microsoft.com/office/drawing/2014/main" id="{00000000-0008-0000-0E00-00003B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9" name="CuadroTexto 9">
              <a:extLst>
                <a:ext uri="{FF2B5EF4-FFF2-40B4-BE49-F238E27FC236}">
                  <a16:creationId xmlns:a16="http://schemas.microsoft.com/office/drawing/2014/main" id="{00000000-0008-0000-0E00-00003B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79375</xdr:colOff>
      <xdr:row>8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00000000-0008-0000-0E00-00003C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00000000-0008-0000-0E00-00003C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17</xdr:col>
      <xdr:colOff>296863</xdr:colOff>
      <xdr:row>2</xdr:row>
      <xdr:rowOff>84871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00000000-0008-0000-0E00-00003D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00000000-0008-0000-0E00-00003D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14</xdr:col>
      <xdr:colOff>284096</xdr:colOff>
      <xdr:row>2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8">
              <a:extLst>
                <a:ext uri="{FF2B5EF4-FFF2-40B4-BE49-F238E27FC236}">
                  <a16:creationId xmlns:a16="http://schemas.microsoft.com/office/drawing/2014/main" id="{00000000-0008-0000-0E00-00003E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2" name="CuadroTexto 8">
              <a:extLst>
                <a:ext uri="{FF2B5EF4-FFF2-40B4-BE49-F238E27FC236}">
                  <a16:creationId xmlns:a16="http://schemas.microsoft.com/office/drawing/2014/main" id="{00000000-0008-0000-0E00-00003E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230391</xdr:colOff>
      <xdr:row>2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9">
              <a:extLst>
                <a:ext uri="{FF2B5EF4-FFF2-40B4-BE49-F238E27FC236}">
                  <a16:creationId xmlns:a16="http://schemas.microsoft.com/office/drawing/2014/main" id="{00000000-0008-0000-0E00-00003F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3" name="CuadroTexto 9">
              <a:extLst>
                <a:ext uri="{FF2B5EF4-FFF2-40B4-BE49-F238E27FC236}">
                  <a16:creationId xmlns:a16="http://schemas.microsoft.com/office/drawing/2014/main" id="{00000000-0008-0000-0E00-00003F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13</xdr:col>
      <xdr:colOff>79375</xdr:colOff>
      <xdr:row>2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00000000-0008-0000-0E00-000040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00000000-0008-0000-0E00-000040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11</xdr:col>
      <xdr:colOff>296863</xdr:colOff>
      <xdr:row>8</xdr:row>
      <xdr:rowOff>84871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00000000-0008-0000-0E00-000041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00000000-0008-0000-0E00-000041000000}"/>
                </a:ext>
              </a:extLst>
            </xdr:cNvPr>
            <xdr:cNvSpPr txBox="1"/>
          </xdr:nvSpPr>
          <xdr:spPr>
            <a:xfrm>
              <a:off x="4424363" y="491271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284096</xdr:colOff>
      <xdr:row>8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8">
              <a:extLst>
                <a:ext uri="{FF2B5EF4-FFF2-40B4-BE49-F238E27FC236}">
                  <a16:creationId xmlns:a16="http://schemas.microsoft.com/office/drawing/2014/main" id="{00000000-0008-0000-0E00-000042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6" name="CuadroTexto 8">
              <a:extLst>
                <a:ext uri="{FF2B5EF4-FFF2-40B4-BE49-F238E27FC236}">
                  <a16:creationId xmlns:a16="http://schemas.microsoft.com/office/drawing/2014/main" id="{00000000-0008-0000-0E00-000042000000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230391</xdr:colOff>
      <xdr:row>8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9">
              <a:extLst>
                <a:ext uri="{FF2B5EF4-FFF2-40B4-BE49-F238E27FC236}">
                  <a16:creationId xmlns:a16="http://schemas.microsoft.com/office/drawing/2014/main" id="{00000000-0008-0000-0E00-000043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7" name="CuadroTexto 9">
              <a:extLst>
                <a:ext uri="{FF2B5EF4-FFF2-40B4-BE49-F238E27FC236}">
                  <a16:creationId xmlns:a16="http://schemas.microsoft.com/office/drawing/2014/main" id="{00000000-0008-0000-0E00-000043000000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7</xdr:col>
      <xdr:colOff>79375</xdr:colOff>
      <xdr:row>8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00000000-0008-0000-0E00-000044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00000000-0008-0000-0E00-000044000000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0.16623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56478" y="4337908"/>
          <a:ext cx="1387066" cy="27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					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				                                  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endParaRPr lang="es-ES_tradnl" sz="900" b="0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508000</xdr:colOff>
      <xdr:row>0</xdr:row>
      <xdr:rowOff>101600</xdr:rowOff>
    </xdr:from>
    <xdr:to>
      <xdr:col>52</xdr:col>
      <xdr:colOff>25399</xdr:colOff>
      <xdr:row>21</xdr:row>
      <xdr:rowOff>40544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0" y="101600"/>
          <a:ext cx="7772399" cy="4383944"/>
        </a:xfrm>
        <a:prstGeom prst="rect">
          <a:avLst/>
        </a:prstGeom>
      </xdr:spPr>
    </xdr:pic>
    <xdr:clientData/>
  </xdr:twoCellAnchor>
  <xdr:oneCellAnchor>
    <xdr:from>
      <xdr:col>5</xdr:col>
      <xdr:colOff>231752</xdr:colOff>
      <xdr:row>1</xdr:row>
      <xdr:rowOff>185194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4359252" y="388394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241E40D8-9DCC-6449-A83A-F3A42089019A}"/>
                </a:ext>
              </a:extLst>
            </xdr:cNvPr>
            <xdr:cNvSpPr txBox="1"/>
          </xdr:nvSpPr>
          <xdr:spPr>
            <a:xfrm>
              <a:off x="4359252" y="388394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2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1849494" y="4785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1180E4C7-87A0-F447-98CE-4CD8B14B9656}"/>
                </a:ext>
              </a:extLst>
            </xdr:cNvPr>
            <xdr:cNvSpPr txBox="1"/>
          </xdr:nvSpPr>
          <xdr:spPr>
            <a:xfrm>
              <a:off x="1849494" y="4785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1</xdr:col>
      <xdr:colOff>174012</xdr:colOff>
      <xdr:row>150</xdr:row>
      <xdr:rowOff>166883</xdr:rowOff>
    </xdr:from>
    <xdr:to>
      <xdr:col>12</xdr:col>
      <xdr:colOff>85112</xdr:colOff>
      <xdr:row>174</xdr:row>
      <xdr:rowOff>195609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30</xdr:row>
      <xdr:rowOff>114300</xdr:rowOff>
    </xdr:from>
    <xdr:to>
      <xdr:col>41</xdr:col>
      <xdr:colOff>139700</xdr:colOff>
      <xdr:row>54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304800</xdr:colOff>
      <xdr:row>59</xdr:row>
      <xdr:rowOff>12700</xdr:rowOff>
    </xdr:from>
    <xdr:to>
      <xdr:col>41</xdr:col>
      <xdr:colOff>215900</xdr:colOff>
      <xdr:row>82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88</xdr:row>
      <xdr:rowOff>0</xdr:rowOff>
    </xdr:from>
    <xdr:to>
      <xdr:col>41</xdr:col>
      <xdr:colOff>736600</xdr:colOff>
      <xdr:row>111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118</xdr:row>
      <xdr:rowOff>0</xdr:rowOff>
    </xdr:from>
    <xdr:to>
      <xdr:col>41</xdr:col>
      <xdr:colOff>736600</xdr:colOff>
      <xdr:row>141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15</xdr:col>
      <xdr:colOff>20481</xdr:colOff>
      <xdr:row>2</xdr:row>
      <xdr:rowOff>80958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F00-00000A000000}"/>
                </a:ext>
              </a:extLst>
            </xdr:cNvPr>
            <xdr:cNvSpPr txBox="1"/>
          </xdr:nvSpPr>
          <xdr:spPr>
            <a:xfrm>
              <a:off x="9164481" y="48735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5A007565-0797-8C48-B9F3-1F75F7E3438D}"/>
                </a:ext>
              </a:extLst>
            </xdr:cNvPr>
            <xdr:cNvSpPr txBox="1"/>
          </xdr:nvSpPr>
          <xdr:spPr>
            <a:xfrm>
              <a:off x="9164481" y="48735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2</xdr:row>
      <xdr:rowOff>54741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00000000-0008-0000-0F00-00000B000000}"/>
                </a:ext>
              </a:extLst>
            </xdr:cNvPr>
            <xdr:cNvSpPr txBox="1"/>
          </xdr:nvSpPr>
          <xdr:spPr>
            <a:xfrm>
              <a:off x="9688349" y="461141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DB7E00F9-51C9-694D-99A7-7F87A9DC5D27}"/>
                </a:ext>
              </a:extLst>
            </xdr:cNvPr>
            <xdr:cNvSpPr txBox="1"/>
          </xdr:nvSpPr>
          <xdr:spPr>
            <a:xfrm>
              <a:off x="9688349" y="461141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2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5">
              <a:extLst>
                <a:ext uri="{FF2B5EF4-FFF2-40B4-BE49-F238E27FC236}">
                  <a16:creationId xmlns:a16="http://schemas.microsoft.com/office/drawing/2014/main" id="{00000000-0008-0000-0F00-00000C000000}"/>
                </a:ext>
              </a:extLst>
            </xdr:cNvPr>
            <xdr:cNvSpPr txBox="1"/>
          </xdr:nvSpPr>
          <xdr:spPr>
            <a:xfrm>
              <a:off x="13754538" y="4830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2" name="CuadroTexto 5">
              <a:extLst>
                <a:ext uri="{FF2B5EF4-FFF2-40B4-BE49-F238E27FC236}">
                  <a16:creationId xmlns:a16="http://schemas.microsoft.com/office/drawing/2014/main" id="{62CDB2D1-F800-3B4B-B80B-33040798D257}"/>
                </a:ext>
              </a:extLst>
            </xdr:cNvPr>
            <xdr:cNvSpPr txBox="1"/>
          </xdr:nvSpPr>
          <xdr:spPr>
            <a:xfrm>
              <a:off x="13754538" y="4830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47116</xdr:colOff>
      <xdr:row>2</xdr:row>
      <xdr:rowOff>83281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00000000-0008-0000-0F00-00000D000000}"/>
                </a:ext>
              </a:extLst>
            </xdr:cNvPr>
            <xdr:cNvSpPr txBox="1"/>
          </xdr:nvSpPr>
          <xdr:spPr>
            <a:xfrm>
              <a:off x="14702060" y="482832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3" name="CuadroTexto 5">
              <a:extLst>
                <a:ext uri="{FF2B5EF4-FFF2-40B4-BE49-F238E27FC236}">
                  <a16:creationId xmlns:a16="http://schemas.microsoft.com/office/drawing/2014/main" id="{00000000-0008-0000-0F00-00000D000000}"/>
                </a:ext>
              </a:extLst>
            </xdr:cNvPr>
            <xdr:cNvSpPr txBox="1"/>
          </xdr:nvSpPr>
          <xdr:spPr>
            <a:xfrm>
              <a:off x="14702060" y="482832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25174</xdr:colOff>
      <xdr:row>2</xdr:row>
      <xdr:rowOff>91906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F00-00000E000000}"/>
                </a:ext>
              </a:extLst>
            </xdr:cNvPr>
            <xdr:cNvSpPr txBox="1"/>
          </xdr:nvSpPr>
          <xdr:spPr>
            <a:xfrm>
              <a:off x="11417074" y="49830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E9966611-5F72-DB44-9DF0-A9AFC663E093}"/>
                </a:ext>
              </a:extLst>
            </xdr:cNvPr>
            <xdr:cNvSpPr txBox="1"/>
          </xdr:nvSpPr>
          <xdr:spPr>
            <a:xfrm>
              <a:off x="11417074" y="49830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2</xdr:row>
      <xdr:rowOff>98326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F00-00000F000000}"/>
                </a:ext>
              </a:extLst>
            </xdr:cNvPr>
            <xdr:cNvSpPr txBox="1"/>
          </xdr:nvSpPr>
          <xdr:spPr>
            <a:xfrm>
              <a:off x="17080787" y="49787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F00-00000F000000}"/>
                </a:ext>
              </a:extLst>
            </xdr:cNvPr>
            <xdr:cNvSpPr txBox="1"/>
          </xdr:nvSpPr>
          <xdr:spPr>
            <a:xfrm>
              <a:off x="17080787" y="49787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19960</xdr:colOff>
      <xdr:row>2</xdr:row>
      <xdr:rowOff>94216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00000000-0008-0000-0F00-000010000000}"/>
                </a:ext>
              </a:extLst>
            </xdr:cNvPr>
            <xdr:cNvSpPr txBox="1"/>
          </xdr:nvSpPr>
          <xdr:spPr>
            <a:xfrm>
              <a:off x="16060060" y="50061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39735077-5E1C-044A-8448-85DDCBE38453}"/>
                </a:ext>
              </a:extLst>
            </xdr:cNvPr>
            <xdr:cNvSpPr txBox="1"/>
          </xdr:nvSpPr>
          <xdr:spPr>
            <a:xfrm>
              <a:off x="16060060" y="50061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777951</xdr:colOff>
      <xdr:row>25</xdr:row>
      <xdr:rowOff>159120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F00-000011000000}"/>
                </a:ext>
              </a:extLst>
            </xdr:cNvPr>
            <xdr:cNvSpPr txBox="1"/>
          </xdr:nvSpPr>
          <xdr:spPr>
            <a:xfrm>
              <a:off x="777951" y="541692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E89313-5483-C144-A9B2-2128CDC153F6}"/>
                </a:ext>
              </a:extLst>
            </xdr:cNvPr>
            <xdr:cNvSpPr txBox="1"/>
          </xdr:nvSpPr>
          <xdr:spPr>
            <a:xfrm>
              <a:off x="777951" y="541692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)=46(−1;−2;−1;−6)𝑑𝐵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235800</xdr:colOff>
      <xdr:row>27</xdr:row>
      <xdr:rowOff>90678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F00-000012000000}"/>
                </a:ext>
              </a:extLst>
            </xdr:cNvPr>
            <xdr:cNvSpPr txBox="1"/>
          </xdr:nvSpPr>
          <xdr:spPr>
            <a:xfrm>
              <a:off x="6077800" y="5754878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1C728A5-E5F5-DE45-89F9-D679E3022E85}"/>
                </a:ext>
              </a:extLst>
            </xdr:cNvPr>
            <xdr:cNvSpPr txBox="1"/>
          </xdr:nvSpPr>
          <xdr:spPr>
            <a:xfrm>
              <a:off x="6077800" y="5754878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208410</xdr:colOff>
      <xdr:row>27</xdr:row>
      <xdr:rowOff>99560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SpPr txBox="1"/>
          </xdr:nvSpPr>
          <xdr:spPr>
            <a:xfrm>
              <a:off x="11600310" y="576376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SpPr txBox="1"/>
          </xdr:nvSpPr>
          <xdr:spPr>
            <a:xfrm>
              <a:off x="11600310" y="5763760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50−5000)=46+(−6)=40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317688</xdr:colOff>
      <xdr:row>26</xdr:row>
      <xdr:rowOff>51958</xdr:rowOff>
    </xdr:from>
    <xdr:ext cx="3735574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F00-000014000000}"/>
                </a:ext>
              </a:extLst>
            </xdr:cNvPr>
            <xdr:cNvSpPr txBox="1"/>
          </xdr:nvSpPr>
          <xdr:spPr>
            <a:xfrm>
              <a:off x="6159688" y="5512958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A00D41B-4E18-3446-9AF4-2FB450053499}"/>
                </a:ext>
              </a:extLst>
            </xdr:cNvPr>
            <xdr:cNvSpPr txBox="1"/>
          </xdr:nvSpPr>
          <xdr:spPr>
            <a:xfrm>
              <a:off x="6159688" y="5512958"/>
              <a:ext cx="3735574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+𝐶=46+(−1)=45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280890</xdr:colOff>
      <xdr:row>26</xdr:row>
      <xdr:rowOff>95650</xdr:rowOff>
    </xdr:from>
    <xdr:ext cx="3873047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F00-000015000000}"/>
                </a:ext>
              </a:extLst>
            </xdr:cNvPr>
            <xdr:cNvSpPr txBox="1"/>
          </xdr:nvSpPr>
          <xdr:spPr>
            <a:xfrm>
              <a:off x="11672790" y="5556650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=46+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19D383DB-463A-CB41-A2E7-E178E437EE04}"/>
                </a:ext>
              </a:extLst>
            </xdr:cNvPr>
            <xdr:cNvSpPr txBox="1"/>
          </xdr:nvSpPr>
          <xdr:spPr>
            <a:xfrm>
              <a:off x="11672790" y="5556650"/>
              <a:ext cx="3873047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+𝐶_𝑡𝑟=46+(−2)=44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24801</xdr:colOff>
      <xdr:row>31</xdr:row>
      <xdr:rowOff>93917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00000000-0008-0000-0F00-000016000000}"/>
                </a:ext>
              </a:extLst>
            </xdr:cNvPr>
            <xdr:cNvSpPr txBox="1"/>
          </xdr:nvSpPr>
          <xdr:spPr>
            <a:xfrm>
              <a:off x="9168801" y="657091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5">
              <a:extLst>
                <a:ext uri="{FF2B5EF4-FFF2-40B4-BE49-F238E27FC236}">
                  <a16:creationId xmlns:a16="http://schemas.microsoft.com/office/drawing/2014/main" id="{4AB8B254-619A-C34C-AECE-63F4AE153DEE}"/>
                </a:ext>
              </a:extLst>
            </xdr:cNvPr>
            <xdr:cNvSpPr txBox="1"/>
          </xdr:nvSpPr>
          <xdr:spPr>
            <a:xfrm>
              <a:off x="9168801" y="657091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31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00000000-0008-0000-0F00-000017000000}"/>
                </a:ext>
              </a:extLst>
            </xdr:cNvPr>
            <xdr:cNvSpPr txBox="1"/>
          </xdr:nvSpPr>
          <xdr:spPr>
            <a:xfrm>
              <a:off x="13754538" y="65536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5">
              <a:extLst>
                <a:ext uri="{FF2B5EF4-FFF2-40B4-BE49-F238E27FC236}">
                  <a16:creationId xmlns:a16="http://schemas.microsoft.com/office/drawing/2014/main" id="{85C2ABEC-B667-FC43-AEFE-B246F0DCD631}"/>
                </a:ext>
              </a:extLst>
            </xdr:cNvPr>
            <xdr:cNvSpPr txBox="1"/>
          </xdr:nvSpPr>
          <xdr:spPr>
            <a:xfrm>
              <a:off x="13754538" y="65536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31</xdr:row>
      <xdr:rowOff>54741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00000000-0008-0000-0F00-000018000000}"/>
                </a:ext>
              </a:extLst>
            </xdr:cNvPr>
            <xdr:cNvSpPr txBox="1"/>
          </xdr:nvSpPr>
          <xdr:spPr>
            <a:xfrm>
              <a:off x="14294946" y="6531741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5">
              <a:extLst>
                <a:ext uri="{FF2B5EF4-FFF2-40B4-BE49-F238E27FC236}">
                  <a16:creationId xmlns:a16="http://schemas.microsoft.com/office/drawing/2014/main" id="{303A92D3-0AA8-2040-A5E6-7AC20BCB02E4}"/>
                </a:ext>
              </a:extLst>
            </xdr:cNvPr>
            <xdr:cNvSpPr txBox="1"/>
          </xdr:nvSpPr>
          <xdr:spPr>
            <a:xfrm>
              <a:off x="14294946" y="6531741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29493</xdr:colOff>
      <xdr:row>31</xdr:row>
      <xdr:rowOff>96227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F00-000019000000}"/>
                </a:ext>
              </a:extLst>
            </xdr:cNvPr>
            <xdr:cNvSpPr txBox="1"/>
          </xdr:nvSpPr>
          <xdr:spPr>
            <a:xfrm>
              <a:off x="11421393" y="65732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ADEB0C60-0A23-334E-BF39-193772AF9B44}"/>
                </a:ext>
              </a:extLst>
            </xdr:cNvPr>
            <xdr:cNvSpPr txBox="1"/>
          </xdr:nvSpPr>
          <xdr:spPr>
            <a:xfrm>
              <a:off x="11421393" y="65732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31</xdr:row>
      <xdr:rowOff>91384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00000000-0008-0000-0F00-00001A000000}"/>
                </a:ext>
              </a:extLst>
            </xdr:cNvPr>
            <xdr:cNvSpPr txBox="1"/>
          </xdr:nvSpPr>
          <xdr:spPr>
            <a:xfrm>
              <a:off x="16586200" y="6568384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5118B5AE-CC10-9C41-AB8B-24D2373B6042}"/>
                </a:ext>
              </a:extLst>
            </xdr:cNvPr>
            <xdr:cNvSpPr txBox="1"/>
          </xdr:nvSpPr>
          <xdr:spPr>
            <a:xfrm>
              <a:off x="16586200" y="6568384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11321</xdr:colOff>
      <xdr:row>31</xdr:row>
      <xdr:rowOff>107175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00000000-0008-0000-0F00-00001B000000}"/>
                </a:ext>
              </a:extLst>
            </xdr:cNvPr>
            <xdr:cNvSpPr txBox="1"/>
          </xdr:nvSpPr>
          <xdr:spPr>
            <a:xfrm>
              <a:off x="16051421" y="6584175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70A5E58A-6E7E-C748-988D-169832E4C9C4}"/>
                </a:ext>
              </a:extLst>
            </xdr:cNvPr>
            <xdr:cNvSpPr txBox="1"/>
          </xdr:nvSpPr>
          <xdr:spPr>
            <a:xfrm>
              <a:off x="16051421" y="6584175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155965</xdr:colOff>
      <xdr:row>55</xdr:row>
      <xdr:rowOff>77982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F00-00001C000000}"/>
                </a:ext>
              </a:extLst>
            </xdr:cNvPr>
            <xdr:cNvSpPr txBox="1"/>
          </xdr:nvSpPr>
          <xdr:spPr>
            <a:xfrm>
              <a:off x="981465" y="11622282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−3;−4;−3;−5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F00-00001C000000}"/>
                </a:ext>
              </a:extLst>
            </xdr:cNvPr>
            <xdr:cNvSpPr txBox="1"/>
          </xdr:nvSpPr>
          <xdr:spPr>
            <a:xfrm>
              <a:off x="981465" y="11622282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)=25(−3;−4;−3;−5)𝑑𝐵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145368</xdr:colOff>
      <xdr:row>56</xdr:row>
      <xdr:rowOff>124126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F00-00001D000000}"/>
                </a:ext>
              </a:extLst>
            </xdr:cNvPr>
            <xdr:cNvSpPr txBox="1"/>
          </xdr:nvSpPr>
          <xdr:spPr>
            <a:xfrm>
              <a:off x="6431868" y="11871626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BACCE543-861F-2A4E-B09E-AD329C8BF593}"/>
                </a:ext>
              </a:extLst>
            </xdr:cNvPr>
            <xdr:cNvSpPr txBox="1"/>
          </xdr:nvSpPr>
          <xdr:spPr>
            <a:xfrm>
              <a:off x="6431868" y="11871626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525396</xdr:colOff>
      <xdr:row>56</xdr:row>
      <xdr:rowOff>113911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F00-00001E000000}"/>
                </a:ext>
              </a:extLst>
            </xdr:cNvPr>
            <xdr:cNvSpPr txBox="1"/>
          </xdr:nvSpPr>
          <xdr:spPr>
            <a:xfrm>
              <a:off x="11333096" y="11861411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F00-00001E000000}"/>
                </a:ext>
              </a:extLst>
            </xdr:cNvPr>
            <xdr:cNvSpPr txBox="1"/>
          </xdr:nvSpPr>
          <xdr:spPr>
            <a:xfrm>
              <a:off x="11333096" y="11861411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50−5000)=25+(−5)=20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150865</xdr:colOff>
      <xdr:row>55</xdr:row>
      <xdr:rowOff>94956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F00-00001F000000}"/>
                </a:ext>
              </a:extLst>
            </xdr:cNvPr>
            <xdr:cNvSpPr txBox="1"/>
          </xdr:nvSpPr>
          <xdr:spPr>
            <a:xfrm>
              <a:off x="6437365" y="11639256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624A52C-CF39-BE4B-932A-299B23896567}"/>
                </a:ext>
              </a:extLst>
            </xdr:cNvPr>
            <xdr:cNvSpPr txBox="1"/>
          </xdr:nvSpPr>
          <xdr:spPr>
            <a:xfrm>
              <a:off x="6437365" y="11639256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+𝐶=25+(−3)=22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511937</xdr:colOff>
      <xdr:row>55</xdr:row>
      <xdr:rowOff>100453</xdr:rowOff>
    </xdr:from>
    <xdr:ext cx="3827779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F00-000020000000}"/>
                </a:ext>
              </a:extLst>
            </xdr:cNvPr>
            <xdr:cNvSpPr txBox="1"/>
          </xdr:nvSpPr>
          <xdr:spPr>
            <a:xfrm>
              <a:off x="11319637" y="11644753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=21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898CFB34-CBFE-954F-8C3B-7678481010DB}"/>
                </a:ext>
              </a:extLst>
            </xdr:cNvPr>
            <xdr:cNvSpPr txBox="1"/>
          </xdr:nvSpPr>
          <xdr:spPr>
            <a:xfrm>
              <a:off x="11319637" y="11644753"/>
              <a:ext cx="3827779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+𝐶_𝑡𝑟=25+(−4)=21𝑑𝐵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33441</xdr:colOff>
      <xdr:row>60</xdr:row>
      <xdr:rowOff>93917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00000000-0008-0000-0F00-000021000000}"/>
                </a:ext>
              </a:extLst>
            </xdr:cNvPr>
            <xdr:cNvSpPr txBox="1"/>
          </xdr:nvSpPr>
          <xdr:spPr>
            <a:xfrm>
              <a:off x="9177441" y="1265421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5">
              <a:extLst>
                <a:ext uri="{FF2B5EF4-FFF2-40B4-BE49-F238E27FC236}">
                  <a16:creationId xmlns:a16="http://schemas.microsoft.com/office/drawing/2014/main" id="{C1872B15-6962-6845-A143-9799577A9B53}"/>
                </a:ext>
              </a:extLst>
            </xdr:cNvPr>
            <xdr:cNvSpPr txBox="1"/>
          </xdr:nvSpPr>
          <xdr:spPr>
            <a:xfrm>
              <a:off x="9177441" y="1265421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60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00000000-0008-0000-0F00-000022000000}"/>
                </a:ext>
              </a:extLst>
            </xdr:cNvPr>
            <xdr:cNvSpPr txBox="1"/>
          </xdr:nvSpPr>
          <xdr:spPr>
            <a:xfrm>
              <a:off x="13754538" y="126369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5">
              <a:extLst>
                <a:ext uri="{FF2B5EF4-FFF2-40B4-BE49-F238E27FC236}">
                  <a16:creationId xmlns:a16="http://schemas.microsoft.com/office/drawing/2014/main" id="{169BB635-45BF-5C42-B766-4BD3B4A163FB}"/>
                </a:ext>
              </a:extLst>
            </xdr:cNvPr>
            <xdr:cNvSpPr txBox="1"/>
          </xdr:nvSpPr>
          <xdr:spPr>
            <a:xfrm>
              <a:off x="13754538" y="126369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24206</xdr:colOff>
      <xdr:row>60</xdr:row>
      <xdr:rowOff>80660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00000000-0008-0000-0F00-000023000000}"/>
                </a:ext>
              </a:extLst>
            </xdr:cNvPr>
            <xdr:cNvSpPr txBox="1"/>
          </xdr:nvSpPr>
          <xdr:spPr>
            <a:xfrm>
              <a:off x="14286306" y="1264096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5">
              <a:extLst>
                <a:ext uri="{FF2B5EF4-FFF2-40B4-BE49-F238E27FC236}">
                  <a16:creationId xmlns:a16="http://schemas.microsoft.com/office/drawing/2014/main" id="{7FC28A14-E106-FD44-B511-0AEA8CF896AE}"/>
                </a:ext>
              </a:extLst>
            </xdr:cNvPr>
            <xdr:cNvSpPr txBox="1"/>
          </xdr:nvSpPr>
          <xdr:spPr>
            <a:xfrm>
              <a:off x="14286306" y="12640960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38133</xdr:colOff>
      <xdr:row>60</xdr:row>
      <xdr:rowOff>109186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00000000-0008-0000-0F00-000024000000}"/>
                </a:ext>
              </a:extLst>
            </xdr:cNvPr>
            <xdr:cNvSpPr txBox="1"/>
          </xdr:nvSpPr>
          <xdr:spPr>
            <a:xfrm>
              <a:off x="11430033" y="1266948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5">
              <a:extLst>
                <a:ext uri="{FF2B5EF4-FFF2-40B4-BE49-F238E27FC236}">
                  <a16:creationId xmlns:a16="http://schemas.microsoft.com/office/drawing/2014/main" id="{00B9B4EB-4398-6148-B4A6-39F97C7F86F9}"/>
                </a:ext>
              </a:extLst>
            </xdr:cNvPr>
            <xdr:cNvSpPr txBox="1"/>
          </xdr:nvSpPr>
          <xdr:spPr>
            <a:xfrm>
              <a:off x="11430033" y="1266948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12959</xdr:colOff>
      <xdr:row>60</xdr:row>
      <xdr:rowOff>100023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0000000-0008-0000-0F00-000025000000}"/>
                </a:ext>
              </a:extLst>
            </xdr:cNvPr>
            <xdr:cNvSpPr txBox="1"/>
          </xdr:nvSpPr>
          <xdr:spPr>
            <a:xfrm>
              <a:off x="16599159" y="1266032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7" name="CuadroTexto 5">
              <a:extLst>
                <a:ext uri="{FF2B5EF4-FFF2-40B4-BE49-F238E27FC236}">
                  <a16:creationId xmlns:a16="http://schemas.microsoft.com/office/drawing/2014/main" id="{057673F9-24F1-E14C-8C56-A08E1150E0D8}"/>
                </a:ext>
              </a:extLst>
            </xdr:cNvPr>
            <xdr:cNvSpPr txBox="1"/>
          </xdr:nvSpPr>
          <xdr:spPr>
            <a:xfrm>
              <a:off x="16599159" y="12660323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37239</xdr:colOff>
      <xdr:row>60</xdr:row>
      <xdr:rowOff>111494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00000000-0008-0000-0F00-000026000000}"/>
                </a:ext>
              </a:extLst>
            </xdr:cNvPr>
            <xdr:cNvSpPr txBox="1"/>
          </xdr:nvSpPr>
          <xdr:spPr>
            <a:xfrm>
              <a:off x="16077339" y="12671794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  <m:sup>
                      <m:r>
                        <a:rPr lang="es-ES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bSup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5">
              <a:extLst>
                <a:ext uri="{FF2B5EF4-FFF2-40B4-BE49-F238E27FC236}">
                  <a16:creationId xmlns:a16="http://schemas.microsoft.com/office/drawing/2014/main" id="{6C52A544-643B-B24F-9ACD-4D49052F9675}"/>
                </a:ext>
              </a:extLst>
            </xdr:cNvPr>
            <xdr:cNvSpPr txBox="1"/>
          </xdr:nvSpPr>
          <xdr:spPr>
            <a:xfrm>
              <a:off x="16077339" y="12671794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3915</xdr:colOff>
      <xdr:row>84</xdr:row>
      <xdr:rowOff>1387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F00-000027000000}"/>
                </a:ext>
              </a:extLst>
            </xdr:cNvPr>
            <xdr:cNvSpPr txBox="1"/>
          </xdr:nvSpPr>
          <xdr:spPr>
            <a:xfrm>
              <a:off x="825036" y="18055094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49AED050-43E2-BB45-B0B3-6CC228C1F847}"/>
                </a:ext>
              </a:extLst>
            </xdr:cNvPr>
            <xdr:cNvSpPr txBox="1"/>
          </xdr:nvSpPr>
          <xdr:spPr>
            <a:xfrm>
              <a:off x="825036" y="18055094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)=35(0;−2;0;−3)𝑑𝐵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85</xdr:row>
      <xdr:rowOff>46144</xdr:rowOff>
    </xdr:from>
    <xdr:ext cx="495219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0000000-0008-0000-0F00-000028000000}"/>
                </a:ext>
              </a:extLst>
            </xdr:cNvPr>
            <xdr:cNvSpPr txBox="1"/>
          </xdr:nvSpPr>
          <xdr:spPr>
            <a:xfrm>
              <a:off x="6275903" y="17915044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169D5DDF-7F95-6944-B8BA-C6B1157F183E}"/>
                </a:ext>
              </a:extLst>
            </xdr:cNvPr>
            <xdr:cNvSpPr txBox="1"/>
          </xdr:nvSpPr>
          <xdr:spPr>
            <a:xfrm>
              <a:off x="6275903" y="17915044"/>
              <a:ext cx="495219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85</xdr:row>
      <xdr:rowOff>35929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F00-000029000000}"/>
                </a:ext>
              </a:extLst>
            </xdr:cNvPr>
            <xdr:cNvSpPr txBox="1"/>
          </xdr:nvSpPr>
          <xdr:spPr>
            <a:xfrm>
              <a:off x="11177131" y="1790482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42E2BAC1-542E-F44E-AE15-2E50BE24F07D}"/>
                </a:ext>
              </a:extLst>
            </xdr:cNvPr>
            <xdr:cNvSpPr txBox="1"/>
          </xdr:nvSpPr>
          <xdr:spPr>
            <a:xfrm>
              <a:off x="11177131" y="17904829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50−5000)=35+(−3)=32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181580</xdr:colOff>
      <xdr:row>84</xdr:row>
      <xdr:rowOff>74268</xdr:rowOff>
    </xdr:from>
    <xdr:ext cx="358226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F00-00002A000000}"/>
                </a:ext>
              </a:extLst>
            </xdr:cNvPr>
            <xdr:cNvSpPr txBox="1"/>
          </xdr:nvSpPr>
          <xdr:spPr>
            <a:xfrm>
              <a:off x="6006063" y="18127975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B6893500-2E7E-EE47-8F5E-6DFCF01E81FE}"/>
                </a:ext>
              </a:extLst>
            </xdr:cNvPr>
            <xdr:cNvSpPr txBox="1"/>
          </xdr:nvSpPr>
          <xdr:spPr>
            <a:xfrm>
              <a:off x="6006063" y="18127975"/>
              <a:ext cx="358226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+𝐶=35+(0)=35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193641</xdr:colOff>
      <xdr:row>84</xdr:row>
      <xdr:rowOff>79764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F00-00002B000000}"/>
                </a:ext>
              </a:extLst>
            </xdr:cNvPr>
            <xdr:cNvSpPr txBox="1"/>
          </xdr:nvSpPr>
          <xdr:spPr>
            <a:xfrm>
              <a:off x="11001341" y="1774546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=35+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3345EAA-10EF-0F44-90BC-03C9E5B2F3C7}"/>
                </a:ext>
              </a:extLst>
            </xdr:cNvPr>
            <xdr:cNvSpPr txBox="1"/>
          </xdr:nvSpPr>
          <xdr:spPr>
            <a:xfrm>
              <a:off x="11001341" y="17745464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+𝐶_𝑡𝑟=35+(−2)=33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20482</xdr:colOff>
      <xdr:row>89</xdr:row>
      <xdr:rowOff>89597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00000000-0008-0000-0F00-00002C000000}"/>
                </a:ext>
              </a:extLst>
            </xdr:cNvPr>
            <xdr:cNvSpPr txBox="1"/>
          </xdr:nvSpPr>
          <xdr:spPr>
            <a:xfrm>
              <a:off x="9164482" y="1877129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5">
              <a:extLst>
                <a:ext uri="{FF2B5EF4-FFF2-40B4-BE49-F238E27FC236}">
                  <a16:creationId xmlns:a16="http://schemas.microsoft.com/office/drawing/2014/main" id="{0AA74E34-64FA-7E49-A210-F678ED1CF727}"/>
                </a:ext>
              </a:extLst>
            </xdr:cNvPr>
            <xdr:cNvSpPr txBox="1"/>
          </xdr:nvSpPr>
          <xdr:spPr>
            <a:xfrm>
              <a:off x="9164482" y="1877129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89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00000000-0008-0000-0F00-00002D000000}"/>
                </a:ext>
              </a:extLst>
            </xdr:cNvPr>
            <xdr:cNvSpPr txBox="1"/>
          </xdr:nvSpPr>
          <xdr:spPr>
            <a:xfrm>
              <a:off x="13754538" y="187583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5">
              <a:extLst>
                <a:ext uri="{FF2B5EF4-FFF2-40B4-BE49-F238E27FC236}">
                  <a16:creationId xmlns:a16="http://schemas.microsoft.com/office/drawing/2014/main" id="{C028C63E-423D-7E4F-86E6-8C6F713F3290}"/>
                </a:ext>
              </a:extLst>
            </xdr:cNvPr>
            <xdr:cNvSpPr txBox="1"/>
          </xdr:nvSpPr>
          <xdr:spPr>
            <a:xfrm>
              <a:off x="13754538" y="187583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89</xdr:row>
      <xdr:rowOff>54741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00000000-0008-0000-0F00-00002E000000}"/>
                </a:ext>
              </a:extLst>
            </xdr:cNvPr>
            <xdr:cNvSpPr txBox="1"/>
          </xdr:nvSpPr>
          <xdr:spPr>
            <a:xfrm>
              <a:off x="14294946" y="18736441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6" name="CuadroTexto 5">
              <a:extLst>
                <a:ext uri="{FF2B5EF4-FFF2-40B4-BE49-F238E27FC236}">
                  <a16:creationId xmlns:a16="http://schemas.microsoft.com/office/drawing/2014/main" id="{4685DE7C-99FF-FD4F-931F-F1C8A76583BA}"/>
                </a:ext>
              </a:extLst>
            </xdr:cNvPr>
            <xdr:cNvSpPr txBox="1"/>
          </xdr:nvSpPr>
          <xdr:spPr>
            <a:xfrm>
              <a:off x="14294946" y="18736441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25174</xdr:colOff>
      <xdr:row>89</xdr:row>
      <xdr:rowOff>96227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00000000-0008-0000-0F00-00002F000000}"/>
                </a:ext>
              </a:extLst>
            </xdr:cNvPr>
            <xdr:cNvSpPr txBox="1"/>
          </xdr:nvSpPr>
          <xdr:spPr>
            <a:xfrm>
              <a:off x="11417074" y="187779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7" name="CuadroTexto 5">
              <a:extLst>
                <a:ext uri="{FF2B5EF4-FFF2-40B4-BE49-F238E27FC236}">
                  <a16:creationId xmlns:a16="http://schemas.microsoft.com/office/drawing/2014/main" id="{703832BE-4DA3-AF42-B67A-D71971AB5DE1}"/>
                </a:ext>
              </a:extLst>
            </xdr:cNvPr>
            <xdr:cNvSpPr txBox="1"/>
          </xdr:nvSpPr>
          <xdr:spPr>
            <a:xfrm>
              <a:off x="11417074" y="18777927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565884</xdr:colOff>
      <xdr:row>89</xdr:row>
      <xdr:rowOff>74106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00000000-0008-0000-0F00-000030000000}"/>
                </a:ext>
              </a:extLst>
            </xdr:cNvPr>
            <xdr:cNvSpPr txBox="1"/>
          </xdr:nvSpPr>
          <xdr:spPr>
            <a:xfrm>
              <a:off x="16580584" y="1875580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8" name="CuadroTexto 5">
              <a:extLst>
                <a:ext uri="{FF2B5EF4-FFF2-40B4-BE49-F238E27FC236}">
                  <a16:creationId xmlns:a16="http://schemas.microsoft.com/office/drawing/2014/main" id="{C401AA96-B6CA-7343-B5CD-9C3D28990258}"/>
                </a:ext>
              </a:extLst>
            </xdr:cNvPr>
            <xdr:cNvSpPr txBox="1"/>
          </xdr:nvSpPr>
          <xdr:spPr>
            <a:xfrm>
              <a:off x="16580584" y="1875580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24279</xdr:colOff>
      <xdr:row>89</xdr:row>
      <xdr:rowOff>94216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0000000-0008-0000-0F00-000031000000}"/>
                </a:ext>
              </a:extLst>
            </xdr:cNvPr>
            <xdr:cNvSpPr txBox="1"/>
          </xdr:nvSpPr>
          <xdr:spPr>
            <a:xfrm>
              <a:off x="16064379" y="1877591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9" name="CuadroTexto 5">
              <a:extLst>
                <a:ext uri="{FF2B5EF4-FFF2-40B4-BE49-F238E27FC236}">
                  <a16:creationId xmlns:a16="http://schemas.microsoft.com/office/drawing/2014/main" id="{0793A348-2069-F441-BE85-F353F1288504}"/>
                </a:ext>
              </a:extLst>
            </xdr:cNvPr>
            <xdr:cNvSpPr txBox="1"/>
          </xdr:nvSpPr>
          <xdr:spPr>
            <a:xfrm>
              <a:off x="16064379" y="18775916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825036</xdr:colOff>
      <xdr:row>114</xdr:row>
      <xdr:rowOff>0</xdr:rowOff>
    </xdr:from>
    <xdr:ext cx="5318764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F00-000032000000}"/>
                </a:ext>
              </a:extLst>
            </xdr:cNvPr>
            <xdr:cNvSpPr txBox="1"/>
          </xdr:nvSpPr>
          <xdr:spPr>
            <a:xfrm>
              <a:off x="825036" y="2395220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−1;−3;−1;−5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F00-000032000000}"/>
                </a:ext>
              </a:extLst>
            </xdr:cNvPr>
            <xdr:cNvSpPr txBox="1"/>
          </xdr:nvSpPr>
          <xdr:spPr>
            <a:xfrm>
              <a:off x="825036" y="23952200"/>
              <a:ext cx="5318764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)=39(−1;−3;−1;−5)𝑑𝐵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115</xdr:row>
      <xdr:rowOff>42591</xdr:rowOff>
    </xdr:from>
    <xdr:ext cx="5105500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F00-000033000000}"/>
                </a:ext>
              </a:extLst>
            </xdr:cNvPr>
            <xdr:cNvSpPr txBox="1"/>
          </xdr:nvSpPr>
          <xdr:spPr>
            <a:xfrm>
              <a:off x="6275903" y="24197991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64FD718-5D6E-CE45-8553-36E21D1183AC}"/>
                </a:ext>
              </a:extLst>
            </xdr:cNvPr>
            <xdr:cNvSpPr txBox="1"/>
          </xdr:nvSpPr>
          <xdr:spPr>
            <a:xfrm>
              <a:off x="6275903" y="24197991"/>
              <a:ext cx="5105500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115</xdr:row>
      <xdr:rowOff>32376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F00-000034000000}"/>
                </a:ext>
              </a:extLst>
            </xdr:cNvPr>
            <xdr:cNvSpPr txBox="1"/>
          </xdr:nvSpPr>
          <xdr:spPr>
            <a:xfrm>
              <a:off x="11177131" y="2418777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F00-000034000000}"/>
                </a:ext>
              </a:extLst>
            </xdr:cNvPr>
            <xdr:cNvSpPr txBox="1"/>
          </xdr:nvSpPr>
          <xdr:spPr>
            <a:xfrm>
              <a:off x="11177131" y="24187776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50−5000)=39+(−5)=34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114</xdr:row>
      <xdr:rowOff>13421</xdr:rowOff>
    </xdr:from>
    <xdr:ext cx="3735573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0000000-0008-0000-0F00-000035000000}"/>
                </a:ext>
              </a:extLst>
            </xdr:cNvPr>
            <xdr:cNvSpPr txBox="1"/>
          </xdr:nvSpPr>
          <xdr:spPr>
            <a:xfrm>
              <a:off x="6286741" y="23965621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C01B2EFC-A5D0-AA40-B996-B24AD3C5DA9A}"/>
                </a:ext>
              </a:extLst>
            </xdr:cNvPr>
            <xdr:cNvSpPr txBox="1"/>
          </xdr:nvSpPr>
          <xdr:spPr>
            <a:xfrm>
              <a:off x="6286741" y="23965621"/>
              <a:ext cx="3735573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+𝐶=39+(−1)=38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114</xdr:row>
      <xdr:rowOff>18918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0000000-0008-0000-0F00-000036000000}"/>
                </a:ext>
              </a:extLst>
            </xdr:cNvPr>
            <xdr:cNvSpPr txBox="1"/>
          </xdr:nvSpPr>
          <xdr:spPr>
            <a:xfrm>
              <a:off x="11163672" y="2397111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=39+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23E2331-0433-314D-B39D-517CB15980A5}"/>
                </a:ext>
              </a:extLst>
            </xdr:cNvPr>
            <xdr:cNvSpPr txBox="1"/>
          </xdr:nvSpPr>
          <xdr:spPr>
            <a:xfrm>
              <a:off x="11163672" y="2397111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+𝐶_𝑡𝑟=39+(−3)=36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16313</xdr:colOff>
      <xdr:row>119</xdr:row>
      <xdr:rowOff>86163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00000000-0008-0000-0F00-000037000000}"/>
                </a:ext>
              </a:extLst>
            </xdr:cNvPr>
            <xdr:cNvSpPr txBox="1"/>
          </xdr:nvSpPr>
          <xdr:spPr>
            <a:xfrm>
              <a:off x="9160313" y="25054363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5" name="CuadroTexto 5">
              <a:extLst>
                <a:ext uri="{FF2B5EF4-FFF2-40B4-BE49-F238E27FC236}">
                  <a16:creationId xmlns:a16="http://schemas.microsoft.com/office/drawing/2014/main" id="{4FC16FAE-8360-2644-9F2E-E0BA2CFE601B}"/>
                </a:ext>
              </a:extLst>
            </xdr:cNvPr>
            <xdr:cNvSpPr txBox="1"/>
          </xdr:nvSpPr>
          <xdr:spPr>
            <a:xfrm>
              <a:off x="9160313" y="25054363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525299</xdr:colOff>
      <xdr:row>119</xdr:row>
      <xdr:rowOff>76966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00000000-0008-0000-0F00-000038000000}"/>
                </a:ext>
              </a:extLst>
            </xdr:cNvPr>
            <xdr:cNvSpPr txBox="1"/>
          </xdr:nvSpPr>
          <xdr:spPr>
            <a:xfrm>
              <a:off x="9669299" y="2504516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6" name="CuadroTexto 5">
              <a:extLst>
                <a:ext uri="{FF2B5EF4-FFF2-40B4-BE49-F238E27FC236}">
                  <a16:creationId xmlns:a16="http://schemas.microsoft.com/office/drawing/2014/main" id="{D93A4847-0482-F84C-BFCA-87818B8D002C}"/>
                </a:ext>
              </a:extLst>
            </xdr:cNvPr>
            <xdr:cNvSpPr txBox="1"/>
          </xdr:nvSpPr>
          <xdr:spPr>
            <a:xfrm>
              <a:off x="9669299" y="25045166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76638</xdr:colOff>
      <xdr:row>119</xdr:row>
      <xdr:rowOff>76638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00000000-0008-0000-0F00-000039000000}"/>
                </a:ext>
              </a:extLst>
            </xdr:cNvPr>
            <xdr:cNvSpPr txBox="1"/>
          </xdr:nvSpPr>
          <xdr:spPr>
            <a:xfrm>
              <a:off x="13754538" y="250448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7" name="CuadroTexto 5">
              <a:extLst>
                <a:ext uri="{FF2B5EF4-FFF2-40B4-BE49-F238E27FC236}">
                  <a16:creationId xmlns:a16="http://schemas.microsoft.com/office/drawing/2014/main" id="{6B8285BC-648B-574A-A3E0-37CEE1364559}"/>
                </a:ext>
              </a:extLst>
            </xdr:cNvPr>
            <xdr:cNvSpPr txBox="1"/>
          </xdr:nvSpPr>
          <xdr:spPr>
            <a:xfrm>
              <a:off x="13754538" y="25044838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22</xdr:col>
      <xdr:colOff>32846</xdr:colOff>
      <xdr:row>119</xdr:row>
      <xdr:rowOff>75492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00000000-0008-0000-0F00-00003A000000}"/>
                </a:ext>
              </a:extLst>
            </xdr:cNvPr>
            <xdr:cNvSpPr txBox="1"/>
          </xdr:nvSpPr>
          <xdr:spPr>
            <a:xfrm>
              <a:off x="14294946" y="25043692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4B386B1F-71A0-4446-B061-958068B72F2F}"/>
                </a:ext>
              </a:extLst>
            </xdr:cNvPr>
            <xdr:cNvSpPr txBox="1"/>
          </xdr:nvSpPr>
          <xdr:spPr>
            <a:xfrm>
              <a:off x="14294946" y="25043692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50034</xdr:colOff>
      <xdr:row>119</xdr:row>
      <xdr:rowOff>65362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00000000-0008-0000-0F00-00003B000000}"/>
                </a:ext>
              </a:extLst>
            </xdr:cNvPr>
            <xdr:cNvSpPr txBox="1"/>
          </xdr:nvSpPr>
          <xdr:spPr>
            <a:xfrm>
              <a:off x="11441934" y="2503356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BC1EDC0F-C71C-9B43-8F0C-1571A8DD7E13}"/>
                </a:ext>
              </a:extLst>
            </xdr:cNvPr>
            <xdr:cNvSpPr txBox="1"/>
          </xdr:nvSpPr>
          <xdr:spPr>
            <a:xfrm>
              <a:off x="11441934" y="25033562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560294</xdr:colOff>
      <xdr:row>119</xdr:row>
      <xdr:rowOff>84669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00000000-0008-0000-0F00-00003C000000}"/>
                </a:ext>
              </a:extLst>
            </xdr:cNvPr>
            <xdr:cNvSpPr txBox="1"/>
          </xdr:nvSpPr>
          <xdr:spPr>
            <a:xfrm>
              <a:off x="11952194" y="25052869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4DA1AD3F-1B76-E544-87DD-D9563DD371F4}"/>
                </a:ext>
              </a:extLst>
            </xdr:cNvPr>
            <xdr:cNvSpPr txBox="1"/>
          </xdr:nvSpPr>
          <xdr:spPr>
            <a:xfrm>
              <a:off x="11952194" y="25052869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536575</xdr:colOff>
      <xdr:row>119</xdr:row>
      <xdr:rowOff>87367</xdr:rowOff>
    </xdr:from>
    <xdr:ext cx="1141723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00000000-0008-0000-0F00-00003D000000}"/>
                </a:ext>
              </a:extLst>
            </xdr:cNvPr>
            <xdr:cNvSpPr txBox="1"/>
          </xdr:nvSpPr>
          <xdr:spPr>
            <a:xfrm>
              <a:off x="16576675" y="2505556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76F1AC79-04A0-334A-93E6-2C1047437A63}"/>
                </a:ext>
              </a:extLst>
            </xdr:cNvPr>
            <xdr:cNvSpPr txBox="1"/>
          </xdr:nvSpPr>
          <xdr:spPr>
            <a:xfrm>
              <a:off x="16576675" y="25055567"/>
              <a:ext cx="1141723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25619</xdr:colOff>
      <xdr:row>119</xdr:row>
      <xdr:rowOff>89010</xdr:rowOff>
    </xdr:from>
    <xdr:ext cx="49629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0000000-0008-0000-0F00-00003E000000}"/>
                </a:ext>
              </a:extLst>
            </xdr:cNvPr>
            <xdr:cNvSpPr txBox="1"/>
          </xdr:nvSpPr>
          <xdr:spPr>
            <a:xfrm>
              <a:off x="16065719" y="2505721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09CC65CE-3CDE-AD4E-8953-71CE970D721E}"/>
                </a:ext>
              </a:extLst>
            </xdr:cNvPr>
            <xdr:cNvSpPr txBox="1"/>
          </xdr:nvSpPr>
          <xdr:spPr>
            <a:xfrm>
              <a:off x="16065719" y="25057210"/>
              <a:ext cx="49629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825036</xdr:colOff>
      <xdr:row>144</xdr:row>
      <xdr:rowOff>0</xdr:rowOff>
    </xdr:from>
    <xdr:ext cx="5012141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0000000-0008-0000-0F00-00003F000000}"/>
                </a:ext>
              </a:extLst>
            </xdr:cNvPr>
            <xdr:cNvSpPr txBox="1"/>
          </xdr:nvSpPr>
          <xdr:spPr>
            <a:xfrm>
              <a:off x="825036" y="30264100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=59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0000000-0008-0000-0F00-00003F000000}"/>
                </a:ext>
              </a:extLst>
            </xdr:cNvPr>
            <xdr:cNvSpPr txBox="1"/>
          </xdr:nvSpPr>
          <xdr:spPr>
            <a:xfrm>
              <a:off x="825036" y="30264100"/>
              <a:ext cx="5012141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 (〖𝐶;𝐶〗_𝑡𝑟;𝐶_(50−5000);𝐶_(𝑡𝑟,50−5000) )=59(0;−6;0;−8)𝑑𝐵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145</xdr:row>
      <xdr:rowOff>42590</xdr:rowOff>
    </xdr:from>
    <xdr:ext cx="4781886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00000000-0008-0000-0F00-000040000000}"/>
                </a:ext>
              </a:extLst>
            </xdr:cNvPr>
            <xdr:cNvSpPr txBox="1"/>
          </xdr:nvSpPr>
          <xdr:spPr>
            <a:xfrm>
              <a:off x="6275903" y="30509890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C5905CF2-A480-8A46-A179-DC0EA750516A}"/>
                </a:ext>
              </a:extLst>
            </xdr:cNvPr>
            <xdr:cNvSpPr txBox="1"/>
          </xdr:nvSpPr>
          <xdr:spPr>
            <a:xfrm>
              <a:off x="6275903" y="30509890"/>
              <a:ext cx="4781886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+𝐶_(50−5000)=60+0=60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145</xdr:row>
      <xdr:rowOff>32375</xdr:rowOff>
    </xdr:from>
    <xdr:ext cx="5319148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00000000-0008-0000-0F00-000041000000}"/>
                </a:ext>
              </a:extLst>
            </xdr:cNvPr>
            <xdr:cNvSpPr txBox="1"/>
          </xdr:nvSpPr>
          <xdr:spPr>
            <a:xfrm>
              <a:off x="11177131" y="30499675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 (50−5000)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=52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00000000-0008-0000-0F00-000041000000}"/>
                </a:ext>
              </a:extLst>
            </xdr:cNvPr>
            <xdr:cNvSpPr txBox="1"/>
          </xdr:nvSpPr>
          <xdr:spPr>
            <a:xfrm>
              <a:off x="11177131" y="30499675"/>
              <a:ext cx="5319148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 (50−5000)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+𝐶_(𝑡𝑟, 50−5000)=60+(−8)=52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144</xdr:row>
      <xdr:rowOff>13421</xdr:rowOff>
    </xdr:from>
    <xdr:ext cx="3411960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0000000-0008-0000-0F00-000042000000}"/>
                </a:ext>
              </a:extLst>
            </xdr:cNvPr>
            <xdr:cNvSpPr txBox="1"/>
          </xdr:nvSpPr>
          <xdr:spPr>
            <a:xfrm>
              <a:off x="6286741" y="30277521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=60+0=60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D09B7BCF-49D1-A74B-BCCC-7CF09E4CB601}"/>
                </a:ext>
              </a:extLst>
            </xdr:cNvPr>
            <xdr:cNvSpPr txBox="1"/>
          </xdr:nvSpPr>
          <xdr:spPr>
            <a:xfrm>
              <a:off x="6286741" y="30277521"/>
              <a:ext cx="3411960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+𝐶=60+0=60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144</xdr:row>
      <xdr:rowOff>18918</xdr:rowOff>
    </xdr:from>
    <xdr:ext cx="3873048" cy="257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00000000-0008-0000-0F00-000043000000}"/>
                </a:ext>
              </a:extLst>
            </xdr:cNvPr>
            <xdr:cNvSpPr txBox="1"/>
          </xdr:nvSpPr>
          <xdr:spPr>
            <a:xfrm>
              <a:off x="11163672" y="3028301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=60+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AC4B529D-6F5C-2549-A6CA-5355406C70F3}"/>
                </a:ext>
              </a:extLst>
            </xdr:cNvPr>
            <xdr:cNvSpPr txBox="1"/>
          </xdr:nvSpPr>
          <xdr:spPr>
            <a:xfrm>
              <a:off x="11163672" y="30283018"/>
              <a:ext cx="3873048" cy="257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𝐴, 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=𝐷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𝑛𝑇, 𝑤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+𝐶_𝑡𝑟=60+(−6)=54 𝑑𝐵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22</xdr:col>
      <xdr:colOff>1046480</xdr:colOff>
      <xdr:row>150</xdr:row>
      <xdr:rowOff>75204</xdr:rowOff>
    </xdr:from>
    <xdr:to>
      <xdr:col>26</xdr:col>
      <xdr:colOff>256395</xdr:colOff>
      <xdr:row>154</xdr:row>
      <xdr:rowOff>71119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33980" y="31558504"/>
          <a:ext cx="2807012" cy="808715"/>
        </a:xfrm>
        <a:prstGeom prst="rect">
          <a:avLst/>
        </a:prstGeom>
      </xdr:spPr>
    </xdr:pic>
    <xdr:clientData/>
  </xdr:twoCellAnchor>
  <xdr:oneCellAnchor>
    <xdr:from>
      <xdr:col>19</xdr:col>
      <xdr:colOff>28540</xdr:colOff>
      <xdr:row>2</xdr:row>
      <xdr:rowOff>77755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00000000-0008-0000-0F00-000045000000}"/>
                </a:ext>
              </a:extLst>
            </xdr:cNvPr>
            <xdr:cNvSpPr txBox="1"/>
          </xdr:nvSpPr>
          <xdr:spPr>
            <a:xfrm>
              <a:off x="12257641" y="477306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00000000-0008-0000-0F00-000045000000}"/>
                </a:ext>
              </a:extLst>
            </xdr:cNvPr>
            <xdr:cNvSpPr txBox="1"/>
          </xdr:nvSpPr>
          <xdr:spPr>
            <a:xfrm>
              <a:off x="12257641" y="477306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31</xdr:row>
      <xdr:rowOff>73435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00000000-0008-0000-0F00-000046000000}"/>
                </a:ext>
              </a:extLst>
            </xdr:cNvPr>
            <xdr:cNvSpPr txBox="1"/>
          </xdr:nvSpPr>
          <xdr:spPr>
            <a:xfrm>
              <a:off x="11950700" y="655043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DF48E886-9B83-FB44-A8A2-E028109AADAA}"/>
                </a:ext>
              </a:extLst>
            </xdr:cNvPr>
            <xdr:cNvSpPr txBox="1"/>
          </xdr:nvSpPr>
          <xdr:spPr>
            <a:xfrm>
              <a:off x="11950700" y="655043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60</xdr:row>
      <xdr:rowOff>99353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00000000-0008-0000-0F00-000047000000}"/>
                </a:ext>
              </a:extLst>
            </xdr:cNvPr>
            <xdr:cNvSpPr txBox="1"/>
          </xdr:nvSpPr>
          <xdr:spPr>
            <a:xfrm>
              <a:off x="11950700" y="12659653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23621A66-2A92-9B41-AACA-CF05A910A754}"/>
                </a:ext>
              </a:extLst>
            </xdr:cNvPr>
            <xdr:cNvSpPr txBox="1"/>
          </xdr:nvSpPr>
          <xdr:spPr>
            <a:xfrm>
              <a:off x="11950700" y="12659653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17279</xdr:colOff>
      <xdr:row>60</xdr:row>
      <xdr:rowOff>86395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00000000-0008-0000-0F00-000048000000}"/>
                </a:ext>
              </a:extLst>
            </xdr:cNvPr>
            <xdr:cNvSpPr txBox="1"/>
          </xdr:nvSpPr>
          <xdr:spPr>
            <a:xfrm>
              <a:off x="9694679" y="1264669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2F992906-B2D0-8B4D-AE9A-1FAEE067948A}"/>
                </a:ext>
              </a:extLst>
            </xdr:cNvPr>
            <xdr:cNvSpPr txBox="1"/>
          </xdr:nvSpPr>
          <xdr:spPr>
            <a:xfrm>
              <a:off x="9694679" y="1264669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31</xdr:row>
      <xdr:rowOff>90714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00000000-0008-0000-0F00-000049000000}"/>
                </a:ext>
              </a:extLst>
            </xdr:cNvPr>
            <xdr:cNvSpPr txBox="1"/>
          </xdr:nvSpPr>
          <xdr:spPr>
            <a:xfrm>
              <a:off x="9677400" y="6567714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F0705C12-FA5D-504A-951C-E649DF652072}"/>
                </a:ext>
              </a:extLst>
            </xdr:cNvPr>
            <xdr:cNvSpPr txBox="1"/>
          </xdr:nvSpPr>
          <xdr:spPr>
            <a:xfrm>
              <a:off x="9677400" y="6567714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552925</xdr:colOff>
      <xdr:row>89</xdr:row>
      <xdr:rowOff>82075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00000000-0008-0000-0F00-00004A000000}"/>
                </a:ext>
              </a:extLst>
            </xdr:cNvPr>
            <xdr:cNvSpPr txBox="1"/>
          </xdr:nvSpPr>
          <xdr:spPr>
            <a:xfrm>
              <a:off x="11944825" y="1876377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5727856A-C139-A247-8A82-689E9B589AC8}"/>
                </a:ext>
              </a:extLst>
            </xdr:cNvPr>
            <xdr:cNvSpPr txBox="1"/>
          </xdr:nvSpPr>
          <xdr:spPr>
            <a:xfrm>
              <a:off x="11944825" y="1876377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89</xdr:row>
      <xdr:rowOff>73435</xdr:rowOff>
    </xdr:from>
    <xdr:ext cx="1107226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00000000-0008-0000-0F00-00004B000000}"/>
                </a:ext>
              </a:extLst>
            </xdr:cNvPr>
            <xdr:cNvSpPr txBox="1"/>
          </xdr:nvSpPr>
          <xdr:spPr>
            <a:xfrm>
              <a:off x="9677400" y="1875513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sSub>
                          <m:sSubPr>
                            <m:ctrlPr>
                              <a:rPr lang="es-ES_tradnl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𝑛𝑇</m:t>
                            </m:r>
                          </m:sub>
                        </m:s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4BCBB9F8-ED5E-8D40-86FE-E85895F6F8DE}"/>
                </a:ext>
              </a:extLst>
            </xdr:cNvPr>
            <xdr:cNvSpPr txBox="1"/>
          </xdr:nvSpPr>
          <xdr:spPr>
            <a:xfrm>
              <a:off x="9677400" y="18755135"/>
              <a:ext cx="1107226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_tradnl" sz="1400" i="0">
                  <a:latin typeface="Cambria Math" panose="02040503050406030204" pitchFamily="18" charset="0"/>
                </a:rPr>
                <a:t>" </a:t>
              </a:r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2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8">
              <a:extLst>
                <a:ext uri="{FF2B5EF4-FFF2-40B4-BE49-F238E27FC236}">
                  <a16:creationId xmlns:a16="http://schemas.microsoft.com/office/drawing/2014/main" id="{00000000-0008-0000-0F00-00004C000000}"/>
                </a:ext>
              </a:extLst>
            </xdr:cNvPr>
            <xdr:cNvSpPr txBox="1"/>
          </xdr:nvSpPr>
          <xdr:spPr>
            <a:xfrm>
              <a:off x="2658912" y="4649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6" name="CuadroTexto 8">
              <a:extLst>
                <a:ext uri="{FF2B5EF4-FFF2-40B4-BE49-F238E27FC236}">
                  <a16:creationId xmlns:a16="http://schemas.microsoft.com/office/drawing/2014/main" id="{0FA2A388-5AA4-6A43-92D0-A4F84414BA42}"/>
                </a:ext>
              </a:extLst>
            </xdr:cNvPr>
            <xdr:cNvSpPr txBox="1"/>
          </xdr:nvSpPr>
          <xdr:spPr>
            <a:xfrm>
              <a:off x="2658912" y="4649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2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00000000-0008-0000-0F00-00004D000000}"/>
                </a:ext>
              </a:extLst>
            </xdr:cNvPr>
            <xdr:cNvSpPr txBox="1"/>
          </xdr:nvSpPr>
          <xdr:spPr>
            <a:xfrm>
              <a:off x="870243" y="5062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860AF208-59D1-8246-A4C4-BB76F3E4437E}"/>
                </a:ext>
              </a:extLst>
            </xdr:cNvPr>
            <xdr:cNvSpPr txBox="1"/>
          </xdr:nvSpPr>
          <xdr:spPr>
            <a:xfrm>
              <a:off x="870243" y="5062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2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8">
              <a:extLst>
                <a:ext uri="{FF2B5EF4-FFF2-40B4-BE49-F238E27FC236}">
                  <a16:creationId xmlns:a16="http://schemas.microsoft.com/office/drawing/2014/main" id="{00000000-0008-0000-0F00-00004E000000}"/>
                </a:ext>
              </a:extLst>
            </xdr:cNvPr>
            <xdr:cNvSpPr txBox="1"/>
          </xdr:nvSpPr>
          <xdr:spPr>
            <a:xfrm>
              <a:off x="3604872" y="4924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8" name="CuadroTexto 8">
              <a:extLst>
                <a:ext uri="{FF2B5EF4-FFF2-40B4-BE49-F238E27FC236}">
                  <a16:creationId xmlns:a16="http://schemas.microsoft.com/office/drawing/2014/main" id="{275F672A-18D7-5645-B303-CD42D3E5EEAB}"/>
                </a:ext>
              </a:extLst>
            </xdr:cNvPr>
            <xdr:cNvSpPr txBox="1"/>
          </xdr:nvSpPr>
          <xdr:spPr>
            <a:xfrm>
              <a:off x="3604872" y="4924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31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00000000-0008-0000-0F00-00004F000000}"/>
                </a:ext>
              </a:extLst>
            </xdr:cNvPr>
            <xdr:cNvSpPr txBox="1"/>
          </xdr:nvSpPr>
          <xdr:spPr>
            <a:xfrm>
              <a:off x="4368800" y="65380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1CE586E4-B00C-D64E-BF33-734574BA9456}"/>
                </a:ext>
              </a:extLst>
            </xdr:cNvPr>
            <xdr:cNvSpPr txBox="1"/>
          </xdr:nvSpPr>
          <xdr:spPr>
            <a:xfrm>
              <a:off x="4368800" y="65380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31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8">
              <a:extLst>
                <a:ext uri="{FF2B5EF4-FFF2-40B4-BE49-F238E27FC236}">
                  <a16:creationId xmlns:a16="http://schemas.microsoft.com/office/drawing/2014/main" id="{00000000-0008-0000-0F00-000050000000}"/>
                </a:ext>
              </a:extLst>
            </xdr:cNvPr>
            <xdr:cNvSpPr txBox="1"/>
          </xdr:nvSpPr>
          <xdr:spPr>
            <a:xfrm>
              <a:off x="1849494" y="65491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0" name="CuadroTexto 8">
              <a:extLst>
                <a:ext uri="{FF2B5EF4-FFF2-40B4-BE49-F238E27FC236}">
                  <a16:creationId xmlns:a16="http://schemas.microsoft.com/office/drawing/2014/main" id="{0BCB3C9B-6B9A-9140-9A81-3E328E91E7EA}"/>
                </a:ext>
              </a:extLst>
            </xdr:cNvPr>
            <xdr:cNvSpPr txBox="1"/>
          </xdr:nvSpPr>
          <xdr:spPr>
            <a:xfrm>
              <a:off x="1849494" y="65491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31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8">
              <a:extLst>
                <a:ext uri="{FF2B5EF4-FFF2-40B4-BE49-F238E27FC236}">
                  <a16:creationId xmlns:a16="http://schemas.microsoft.com/office/drawing/2014/main" id="{00000000-0008-0000-0F00-000051000000}"/>
                </a:ext>
              </a:extLst>
            </xdr:cNvPr>
            <xdr:cNvSpPr txBox="1"/>
          </xdr:nvSpPr>
          <xdr:spPr>
            <a:xfrm>
              <a:off x="2658912" y="65355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1" name="CuadroTexto 8">
              <a:extLst>
                <a:ext uri="{FF2B5EF4-FFF2-40B4-BE49-F238E27FC236}">
                  <a16:creationId xmlns:a16="http://schemas.microsoft.com/office/drawing/2014/main" id="{538EBF0E-1E54-DD4D-9826-4EDA21AEF4F3}"/>
                </a:ext>
              </a:extLst>
            </xdr:cNvPr>
            <xdr:cNvSpPr txBox="1"/>
          </xdr:nvSpPr>
          <xdr:spPr>
            <a:xfrm>
              <a:off x="2658912" y="65355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31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00000000-0008-0000-0F00-000052000000}"/>
                </a:ext>
              </a:extLst>
            </xdr:cNvPr>
            <xdr:cNvSpPr txBox="1"/>
          </xdr:nvSpPr>
          <xdr:spPr>
            <a:xfrm>
              <a:off x="870243" y="65768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24D54DF6-D16F-2542-88DC-C96B0CA57F85}"/>
                </a:ext>
              </a:extLst>
            </xdr:cNvPr>
            <xdr:cNvSpPr txBox="1"/>
          </xdr:nvSpPr>
          <xdr:spPr>
            <a:xfrm>
              <a:off x="870243" y="65768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31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8">
              <a:extLst>
                <a:ext uri="{FF2B5EF4-FFF2-40B4-BE49-F238E27FC236}">
                  <a16:creationId xmlns:a16="http://schemas.microsoft.com/office/drawing/2014/main" id="{00000000-0008-0000-0F00-000053000000}"/>
                </a:ext>
              </a:extLst>
            </xdr:cNvPr>
            <xdr:cNvSpPr txBox="1"/>
          </xdr:nvSpPr>
          <xdr:spPr>
            <a:xfrm>
              <a:off x="3604872" y="65630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3" name="CuadroTexto 8">
              <a:extLst>
                <a:ext uri="{FF2B5EF4-FFF2-40B4-BE49-F238E27FC236}">
                  <a16:creationId xmlns:a16="http://schemas.microsoft.com/office/drawing/2014/main" id="{053AB63F-A993-D14C-9E62-F5F9C7714077}"/>
                </a:ext>
              </a:extLst>
            </xdr:cNvPr>
            <xdr:cNvSpPr txBox="1"/>
          </xdr:nvSpPr>
          <xdr:spPr>
            <a:xfrm>
              <a:off x="3604872" y="65630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60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00000000-0008-0000-0F00-000054000000}"/>
                </a:ext>
              </a:extLst>
            </xdr:cNvPr>
            <xdr:cNvSpPr txBox="1"/>
          </xdr:nvSpPr>
          <xdr:spPr>
            <a:xfrm>
              <a:off x="4368800" y="126213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44D7394A-696E-E64E-86B7-9FF6F1205F3F}"/>
                </a:ext>
              </a:extLst>
            </xdr:cNvPr>
            <xdr:cNvSpPr txBox="1"/>
          </xdr:nvSpPr>
          <xdr:spPr>
            <a:xfrm>
              <a:off x="4368800" y="126213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60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8">
              <a:extLst>
                <a:ext uri="{FF2B5EF4-FFF2-40B4-BE49-F238E27FC236}">
                  <a16:creationId xmlns:a16="http://schemas.microsoft.com/office/drawing/2014/main" id="{00000000-0008-0000-0F00-000055000000}"/>
                </a:ext>
              </a:extLst>
            </xdr:cNvPr>
            <xdr:cNvSpPr txBox="1"/>
          </xdr:nvSpPr>
          <xdr:spPr>
            <a:xfrm>
              <a:off x="1849494" y="126324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5" name="CuadroTexto 8">
              <a:extLst>
                <a:ext uri="{FF2B5EF4-FFF2-40B4-BE49-F238E27FC236}">
                  <a16:creationId xmlns:a16="http://schemas.microsoft.com/office/drawing/2014/main" id="{93618D71-F0DB-EE4F-84BE-49A86F6F9E34}"/>
                </a:ext>
              </a:extLst>
            </xdr:cNvPr>
            <xdr:cNvSpPr txBox="1"/>
          </xdr:nvSpPr>
          <xdr:spPr>
            <a:xfrm>
              <a:off x="1849494" y="126324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60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">
              <a:extLst>
                <a:ext uri="{FF2B5EF4-FFF2-40B4-BE49-F238E27FC236}">
                  <a16:creationId xmlns:a16="http://schemas.microsoft.com/office/drawing/2014/main" id="{00000000-0008-0000-0F00-000056000000}"/>
                </a:ext>
              </a:extLst>
            </xdr:cNvPr>
            <xdr:cNvSpPr txBox="1"/>
          </xdr:nvSpPr>
          <xdr:spPr>
            <a:xfrm>
              <a:off x="2658912" y="126188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6" name="CuadroTexto 8">
              <a:extLst>
                <a:ext uri="{FF2B5EF4-FFF2-40B4-BE49-F238E27FC236}">
                  <a16:creationId xmlns:a16="http://schemas.microsoft.com/office/drawing/2014/main" id="{43881021-E780-294D-9D25-7BF10B91AF25}"/>
                </a:ext>
              </a:extLst>
            </xdr:cNvPr>
            <xdr:cNvSpPr txBox="1"/>
          </xdr:nvSpPr>
          <xdr:spPr>
            <a:xfrm>
              <a:off x="2658912" y="126188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60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00000000-0008-0000-0F00-000057000000}"/>
                </a:ext>
              </a:extLst>
            </xdr:cNvPr>
            <xdr:cNvSpPr txBox="1"/>
          </xdr:nvSpPr>
          <xdr:spPr>
            <a:xfrm>
              <a:off x="870243" y="126601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7E6FE06B-155C-A945-A2F8-6EDE8374C406}"/>
                </a:ext>
              </a:extLst>
            </xdr:cNvPr>
            <xdr:cNvSpPr txBox="1"/>
          </xdr:nvSpPr>
          <xdr:spPr>
            <a:xfrm>
              <a:off x="870243" y="126601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60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8">
              <a:extLst>
                <a:ext uri="{FF2B5EF4-FFF2-40B4-BE49-F238E27FC236}">
                  <a16:creationId xmlns:a16="http://schemas.microsoft.com/office/drawing/2014/main" id="{00000000-0008-0000-0F00-000058000000}"/>
                </a:ext>
              </a:extLst>
            </xdr:cNvPr>
            <xdr:cNvSpPr txBox="1"/>
          </xdr:nvSpPr>
          <xdr:spPr>
            <a:xfrm>
              <a:off x="3604872" y="126463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8" name="CuadroTexto 8">
              <a:extLst>
                <a:ext uri="{FF2B5EF4-FFF2-40B4-BE49-F238E27FC236}">
                  <a16:creationId xmlns:a16="http://schemas.microsoft.com/office/drawing/2014/main" id="{295FB7E1-C496-2A46-8C9D-F3F6BD78FBEC}"/>
                </a:ext>
              </a:extLst>
            </xdr:cNvPr>
            <xdr:cNvSpPr txBox="1"/>
          </xdr:nvSpPr>
          <xdr:spPr>
            <a:xfrm>
              <a:off x="3604872" y="126463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88</xdr:row>
      <xdr:rowOff>146997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00000000-0008-0000-0F00-000059000000}"/>
                </a:ext>
              </a:extLst>
            </xdr:cNvPr>
            <xdr:cNvSpPr txBox="1"/>
          </xdr:nvSpPr>
          <xdr:spPr>
            <a:xfrm>
              <a:off x="4368800" y="18625497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F90A3CFA-8366-5A4C-9E50-97454107DDC1}"/>
                </a:ext>
              </a:extLst>
            </xdr:cNvPr>
            <xdr:cNvSpPr txBox="1"/>
          </xdr:nvSpPr>
          <xdr:spPr>
            <a:xfrm>
              <a:off x="4368800" y="18625497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89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8">
              <a:extLst>
                <a:ext uri="{FF2B5EF4-FFF2-40B4-BE49-F238E27FC236}">
                  <a16:creationId xmlns:a16="http://schemas.microsoft.com/office/drawing/2014/main" id="{00000000-0008-0000-0F00-00005A000000}"/>
                </a:ext>
              </a:extLst>
            </xdr:cNvPr>
            <xdr:cNvSpPr txBox="1"/>
          </xdr:nvSpPr>
          <xdr:spPr>
            <a:xfrm>
              <a:off x="1849494" y="187538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0" name="CuadroTexto 8">
              <a:extLst>
                <a:ext uri="{FF2B5EF4-FFF2-40B4-BE49-F238E27FC236}">
                  <a16:creationId xmlns:a16="http://schemas.microsoft.com/office/drawing/2014/main" id="{9CC4BBE3-CD4E-164D-B1C9-A6F50BF0EF19}"/>
                </a:ext>
              </a:extLst>
            </xdr:cNvPr>
            <xdr:cNvSpPr txBox="1"/>
          </xdr:nvSpPr>
          <xdr:spPr>
            <a:xfrm>
              <a:off x="1849494" y="187538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89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8">
              <a:extLst>
                <a:ext uri="{FF2B5EF4-FFF2-40B4-BE49-F238E27FC236}">
                  <a16:creationId xmlns:a16="http://schemas.microsoft.com/office/drawing/2014/main" id="{00000000-0008-0000-0F00-00005B000000}"/>
                </a:ext>
              </a:extLst>
            </xdr:cNvPr>
            <xdr:cNvSpPr txBox="1"/>
          </xdr:nvSpPr>
          <xdr:spPr>
            <a:xfrm>
              <a:off x="2658912" y="187402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1" name="CuadroTexto 8">
              <a:extLst>
                <a:ext uri="{FF2B5EF4-FFF2-40B4-BE49-F238E27FC236}">
                  <a16:creationId xmlns:a16="http://schemas.microsoft.com/office/drawing/2014/main" id="{436A65BF-66D1-1C44-BCE7-DAD22E54A4D4}"/>
                </a:ext>
              </a:extLst>
            </xdr:cNvPr>
            <xdr:cNvSpPr txBox="1"/>
          </xdr:nvSpPr>
          <xdr:spPr>
            <a:xfrm>
              <a:off x="2658912" y="187402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89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F00-00005C000000}"/>
                </a:ext>
              </a:extLst>
            </xdr:cNvPr>
            <xdr:cNvSpPr txBox="1"/>
          </xdr:nvSpPr>
          <xdr:spPr>
            <a:xfrm>
              <a:off x="870243" y="187815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1B2E6E91-0B73-2C47-9BFA-079F4C8346CB}"/>
                </a:ext>
              </a:extLst>
            </xdr:cNvPr>
            <xdr:cNvSpPr txBox="1"/>
          </xdr:nvSpPr>
          <xdr:spPr>
            <a:xfrm>
              <a:off x="870243" y="187815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89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8">
              <a:extLst>
                <a:ext uri="{FF2B5EF4-FFF2-40B4-BE49-F238E27FC236}">
                  <a16:creationId xmlns:a16="http://schemas.microsoft.com/office/drawing/2014/main" id="{00000000-0008-0000-0F00-00005D000000}"/>
                </a:ext>
              </a:extLst>
            </xdr:cNvPr>
            <xdr:cNvSpPr txBox="1"/>
          </xdr:nvSpPr>
          <xdr:spPr>
            <a:xfrm>
              <a:off x="3604872" y="187677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3" name="CuadroTexto 8">
              <a:extLst>
                <a:ext uri="{FF2B5EF4-FFF2-40B4-BE49-F238E27FC236}">
                  <a16:creationId xmlns:a16="http://schemas.microsoft.com/office/drawing/2014/main" id="{B95C9BBC-2F60-2D45-99F1-AFDA6ABEADC4}"/>
                </a:ext>
              </a:extLst>
            </xdr:cNvPr>
            <xdr:cNvSpPr txBox="1"/>
          </xdr:nvSpPr>
          <xdr:spPr>
            <a:xfrm>
              <a:off x="3604872" y="187677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241300</xdr:colOff>
      <xdr:row>119</xdr:row>
      <xdr:rowOff>61058</xdr:rowOff>
    </xdr:from>
    <xdr:ext cx="3314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0000000-0008-0000-0F00-00005E000000}"/>
                </a:ext>
              </a:extLst>
            </xdr:cNvPr>
            <xdr:cNvSpPr txBox="1"/>
          </xdr:nvSpPr>
          <xdr:spPr>
            <a:xfrm>
              <a:off x="4368800" y="25029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4D556458-8E6F-B24C-8CB9-FB300CA3CD1A}"/>
                </a:ext>
              </a:extLst>
            </xdr:cNvPr>
            <xdr:cNvSpPr txBox="1"/>
          </xdr:nvSpPr>
          <xdr:spPr>
            <a:xfrm>
              <a:off x="4368800" y="25029258"/>
              <a:ext cx="3314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𝑛𝑇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198494</xdr:colOff>
      <xdr:row>119</xdr:row>
      <xdr:rowOff>72104</xdr:rowOff>
    </xdr:from>
    <xdr:ext cx="43415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8">
              <a:extLst>
                <a:ext uri="{FF2B5EF4-FFF2-40B4-BE49-F238E27FC236}">
                  <a16:creationId xmlns:a16="http://schemas.microsoft.com/office/drawing/2014/main" id="{00000000-0008-0000-0F00-00005F000000}"/>
                </a:ext>
              </a:extLst>
            </xdr:cNvPr>
            <xdr:cNvSpPr txBox="1"/>
          </xdr:nvSpPr>
          <xdr:spPr>
            <a:xfrm>
              <a:off x="1849494" y="25040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5" name="CuadroTexto 8">
              <a:extLst>
                <a:ext uri="{FF2B5EF4-FFF2-40B4-BE49-F238E27FC236}">
                  <a16:creationId xmlns:a16="http://schemas.microsoft.com/office/drawing/2014/main" id="{80E73376-3A20-1440-BEF3-530F5A7DF3F6}"/>
                </a:ext>
              </a:extLst>
            </xdr:cNvPr>
            <xdr:cNvSpPr txBox="1"/>
          </xdr:nvSpPr>
          <xdr:spPr>
            <a:xfrm>
              <a:off x="1849494" y="25040304"/>
              <a:ext cx="434157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𝑛𝑇,1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182412</xdr:colOff>
      <xdr:row>119</xdr:row>
      <xdr:rowOff>58510</xdr:rowOff>
    </xdr:from>
    <xdr:ext cx="4341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8">
              <a:extLst>
                <a:ext uri="{FF2B5EF4-FFF2-40B4-BE49-F238E27FC236}">
                  <a16:creationId xmlns:a16="http://schemas.microsoft.com/office/drawing/2014/main" id="{00000000-0008-0000-0F00-000060000000}"/>
                </a:ext>
              </a:extLst>
            </xdr:cNvPr>
            <xdr:cNvSpPr txBox="1"/>
          </xdr:nvSpPr>
          <xdr:spPr>
            <a:xfrm>
              <a:off x="2658912" y="25026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6" name="CuadroTexto 8">
              <a:extLst>
                <a:ext uri="{FF2B5EF4-FFF2-40B4-BE49-F238E27FC236}">
                  <a16:creationId xmlns:a16="http://schemas.microsoft.com/office/drawing/2014/main" id="{121D6A05-68DE-2C4C-86B4-04C775CDD6BC}"/>
                </a:ext>
              </a:extLst>
            </xdr:cNvPr>
            <xdr:cNvSpPr txBox="1"/>
          </xdr:nvSpPr>
          <xdr:spPr>
            <a:xfrm>
              <a:off x="2658912" y="25026710"/>
              <a:ext cx="434158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S_tradnl" sz="1400" b="0" i="0">
                  <a:latin typeface="Cambria Math" panose="02040503050406030204" pitchFamily="18" charset="0"/>
                </a:rPr>
                <a:t>_(</a:t>
              </a:r>
              <a:r>
                <a:rPr lang="es-ES" sz="1400" b="0" i="0">
                  <a:latin typeface="Cambria Math" panose="02040503050406030204" pitchFamily="18" charset="0"/>
                </a:rPr>
                <a:t>𝑛𝑇,2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44743</xdr:colOff>
      <xdr:row>119</xdr:row>
      <xdr:rowOff>99810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00000000-0008-0000-0F00-000061000000}"/>
                </a:ext>
              </a:extLst>
            </xdr:cNvPr>
            <xdr:cNvSpPr txBox="1"/>
          </xdr:nvSpPr>
          <xdr:spPr>
            <a:xfrm>
              <a:off x="870243" y="25068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97" name="CuadroTexto 5">
              <a:extLst>
                <a:ext uri="{FF2B5EF4-FFF2-40B4-BE49-F238E27FC236}">
                  <a16:creationId xmlns:a16="http://schemas.microsoft.com/office/drawing/2014/main" id="{828C9A3F-4462-4B41-A2CF-3D52FED8B15A}"/>
                </a:ext>
              </a:extLst>
            </xdr:cNvPr>
            <xdr:cNvSpPr txBox="1"/>
          </xdr:nvSpPr>
          <xdr:spPr>
            <a:xfrm>
              <a:off x="870243" y="2506801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4</xdr:col>
      <xdr:colOff>302872</xdr:colOff>
      <xdr:row>119</xdr:row>
      <xdr:rowOff>86044</xdr:rowOff>
    </xdr:from>
    <xdr:ext cx="194156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8">
              <a:extLst>
                <a:ext uri="{FF2B5EF4-FFF2-40B4-BE49-F238E27FC236}">
                  <a16:creationId xmlns:a16="http://schemas.microsoft.com/office/drawing/2014/main" id="{00000000-0008-0000-0F00-000062000000}"/>
                </a:ext>
              </a:extLst>
            </xdr:cNvPr>
            <xdr:cNvSpPr txBox="1"/>
          </xdr:nvSpPr>
          <xdr:spPr>
            <a:xfrm>
              <a:off x="3604872" y="25054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8" name="CuadroTexto 8">
              <a:extLst>
                <a:ext uri="{FF2B5EF4-FFF2-40B4-BE49-F238E27FC236}">
                  <a16:creationId xmlns:a16="http://schemas.microsoft.com/office/drawing/2014/main" id="{C9DC5149-0BCE-2241-9C0E-5A6552AE93F8}"/>
                </a:ext>
              </a:extLst>
            </xdr:cNvPr>
            <xdr:cNvSpPr txBox="1"/>
          </xdr:nvSpPr>
          <xdr:spPr>
            <a:xfrm>
              <a:off x="3604872" y="25054244"/>
              <a:ext cx="194156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𝑚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27</xdr:col>
      <xdr:colOff>0</xdr:colOff>
      <xdr:row>1</xdr:row>
      <xdr:rowOff>0</xdr:rowOff>
    </xdr:from>
    <xdr:to>
      <xdr:col>41</xdr:col>
      <xdr:colOff>749300</xdr:colOff>
      <xdr:row>24</xdr:row>
      <xdr:rowOff>127000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00000000-0008-0000-0F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0.41401</cdr:x>
      <cdr:y>0.48084</cdr:y>
    </cdr:from>
    <cdr:to>
      <cdr:x>0.45325</cdr:x>
      <cdr:y>0.59923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31E1BA7-F266-F43C-277D-A0EC9C47C0F9}"/>
            </a:ext>
          </a:extLst>
        </cdr:cNvPr>
        <cdr:cNvCxnSpPr/>
      </cdr:nvCxnSpPr>
      <cdr:spPr>
        <a:xfrm xmlns:a="http://schemas.openxmlformats.org/drawingml/2006/main">
          <a:off x="5109705" y="2404175"/>
          <a:ext cx="484322" cy="5919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0.40438</cdr:x>
      <cdr:y>0.45508</cdr:y>
    </cdr:from>
    <cdr:to>
      <cdr:x>0.42696</cdr:x>
      <cdr:y>0.50039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D3537448-62FA-E766-98DC-7B22870E7E78}"/>
            </a:ext>
          </a:extLst>
        </cdr:cNvPr>
        <cdr:cNvSpPr/>
      </cdr:nvSpPr>
      <cdr:spPr>
        <a:xfrm xmlns:a="http://schemas.openxmlformats.org/drawingml/2006/main">
          <a:off x="4990885" y="2275355"/>
          <a:ext cx="278668" cy="226557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0.41314</cdr:x>
      <cdr:y>0.37799</cdr:y>
    </cdr:from>
    <cdr:to>
      <cdr:x>0.45238</cdr:x>
      <cdr:y>0.49566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F8D11D2-8762-EBEB-48AD-69ECB1521B63}"/>
            </a:ext>
          </a:extLst>
        </cdr:cNvPr>
        <cdr:cNvCxnSpPr/>
      </cdr:nvCxnSpPr>
      <cdr:spPr>
        <a:xfrm xmlns:a="http://schemas.openxmlformats.org/drawingml/2006/main">
          <a:off x="5098942" y="1901654"/>
          <a:ext cx="484322" cy="5919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0.40351</cdr:x>
      <cdr:y>0.35239</cdr:y>
    </cdr:from>
    <cdr:to>
      <cdr:x>0.42609</cdr:x>
      <cdr:y>0.39742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0C2B8756-0834-BDA9-EF3A-FCF1D0269554}"/>
            </a:ext>
          </a:extLst>
        </cdr:cNvPr>
        <cdr:cNvSpPr/>
      </cdr:nvSpPr>
      <cdr:spPr>
        <a:xfrm xmlns:a="http://schemas.openxmlformats.org/drawingml/2006/main">
          <a:off x="4980122" y="1772834"/>
          <a:ext cx="278668" cy="226557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0.05235</cdr:x>
      <cdr:y>0.87895</cdr:y>
    </cdr:from>
    <cdr:to>
      <cdr:x>0.97995</cdr:x>
      <cdr:y>0.93583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588740" y="3901703"/>
          <a:ext cx="10432917" cy="25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500           630            800           1000          1250         1600          2000         2500           3150         4000         5000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0.41381</cdr:x>
      <cdr:y>0.32574</cdr:y>
    </cdr:from>
    <cdr:to>
      <cdr:x>0.45304</cdr:x>
      <cdr:y>0.44452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578F2ECC-25A7-B29C-EE15-370EE81AB2EE}"/>
            </a:ext>
          </a:extLst>
        </cdr:cNvPr>
        <cdr:cNvCxnSpPr/>
      </cdr:nvCxnSpPr>
      <cdr:spPr>
        <a:xfrm xmlns:a="http://schemas.openxmlformats.org/drawingml/2006/main">
          <a:off x="5087260" y="1617540"/>
          <a:ext cx="482239" cy="5897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0.39748</cdr:x>
      <cdr:y>0.2935</cdr:y>
    </cdr:from>
    <cdr:to>
      <cdr:x>0.42005</cdr:x>
      <cdr:y>0.33896</cdr:y>
    </cdr:to>
    <cdr:sp macro="" textlink="">
      <cdr:nvSpPr>
        <cdr:cNvPr id="9" name="Estrella de 5 puntas 8">
          <a:extLst xmlns:a="http://schemas.openxmlformats.org/drawingml/2006/main">
            <a:ext uri="{FF2B5EF4-FFF2-40B4-BE49-F238E27FC236}">
              <a16:creationId xmlns:a16="http://schemas.microsoft.com/office/drawing/2014/main" id="{1B1AC2FB-169D-0FCD-B7EC-72CFB9C9EA15}"/>
            </a:ext>
          </a:extLst>
        </cdr:cNvPr>
        <cdr:cNvSpPr/>
      </cdr:nvSpPr>
      <cdr:spPr>
        <a:xfrm xmlns:a="http://schemas.openxmlformats.org/drawingml/2006/main">
          <a:off x="4886402" y="1457438"/>
          <a:ext cx="277470" cy="22573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0.4532</cdr:x>
      <cdr:y>0.21308</cdr:y>
    </cdr:from>
    <cdr:to>
      <cdr:x>0.49897</cdr:x>
      <cdr:y>0.33206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04280600-9E2D-53B9-0C80-795FD71AEBE2}"/>
            </a:ext>
          </a:extLst>
        </cdr:cNvPr>
        <cdr:cNvCxnSpPr/>
      </cdr:nvCxnSpPr>
      <cdr:spPr>
        <a:xfrm xmlns:a="http://schemas.openxmlformats.org/drawingml/2006/main" flipH="1" flipV="1">
          <a:off x="5571503" y="1063487"/>
          <a:ext cx="562597" cy="5938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0.4932</cdr:x>
      <cdr:y>0.31735</cdr:y>
    </cdr:from>
    <cdr:to>
      <cdr:x>0.51577</cdr:x>
      <cdr:y>0.36256</cdr:y>
    </cdr:to>
    <cdr:sp macro="" textlink="">
      <cdr:nvSpPr>
        <cdr:cNvPr id="8" name="Estrella de 5 puntas 7">
          <a:extLst xmlns:a="http://schemas.openxmlformats.org/drawingml/2006/main">
            <a:ext uri="{FF2B5EF4-FFF2-40B4-BE49-F238E27FC236}">
              <a16:creationId xmlns:a16="http://schemas.microsoft.com/office/drawing/2014/main" id="{D8E774B3-0531-460E-7435-A96C3C28ACCD}"/>
            </a:ext>
          </a:extLst>
        </cdr:cNvPr>
        <cdr:cNvSpPr/>
      </cdr:nvSpPr>
      <cdr:spPr>
        <a:xfrm xmlns:a="http://schemas.openxmlformats.org/drawingml/2006/main">
          <a:off x="6063157" y="1583943"/>
          <a:ext cx="277469" cy="22562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0.41164</cdr:x>
      <cdr:y>0.24742</cdr:y>
    </cdr:from>
    <cdr:to>
      <cdr:x>0.45088</cdr:x>
      <cdr:y>0.36581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031E1BA7-F266-F43C-277D-A0EC9C47C0F9}"/>
            </a:ext>
          </a:extLst>
        </cdr:cNvPr>
        <cdr:cNvCxnSpPr/>
      </cdr:nvCxnSpPr>
      <cdr:spPr>
        <a:xfrm xmlns:a="http://schemas.openxmlformats.org/drawingml/2006/main">
          <a:off x="5057418" y="1233159"/>
          <a:ext cx="482101" cy="5900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0.39807</cdr:x>
      <cdr:y>0.21777</cdr:y>
    </cdr:from>
    <cdr:to>
      <cdr:x>0.42065</cdr:x>
      <cdr:y>0.26308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D3537448-62FA-E766-98DC-7B22870E7E78}"/>
            </a:ext>
          </a:extLst>
        </cdr:cNvPr>
        <cdr:cNvSpPr/>
      </cdr:nvSpPr>
      <cdr:spPr>
        <a:xfrm xmlns:a="http://schemas.openxmlformats.org/drawingml/2006/main">
          <a:off x="4890632" y="1085381"/>
          <a:ext cx="277416" cy="22582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508000</xdr:colOff>
      <xdr:row>1</xdr:row>
      <xdr:rowOff>101600</xdr:rowOff>
    </xdr:from>
    <xdr:to>
      <xdr:col>52</xdr:col>
      <xdr:colOff>25400</xdr:colOff>
      <xdr:row>22</xdr:row>
      <xdr:rowOff>40544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BB71A43-17D1-A545-975E-4885CFBE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9100" y="101600"/>
          <a:ext cx="7772400" cy="4383944"/>
        </a:xfrm>
        <a:prstGeom prst="rect">
          <a:avLst/>
        </a:prstGeom>
      </xdr:spPr>
    </xdr:pic>
    <xdr:clientData/>
  </xdr:twoCellAnchor>
  <xdr:oneCellAnchor>
    <xdr:from>
      <xdr:col>5</xdr:col>
      <xdr:colOff>212743</xdr:colOff>
      <xdr:row>2</xdr:row>
      <xdr:rowOff>191110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59D215D5-C658-B941-AD11-791E3EF3A1DB}"/>
                </a:ext>
              </a:extLst>
            </xdr:cNvPr>
            <xdr:cNvSpPr txBox="1"/>
          </xdr:nvSpPr>
          <xdr:spPr>
            <a:xfrm>
              <a:off x="4340243" y="39431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5">
              <a:extLst>
                <a:ext uri="{FF2B5EF4-FFF2-40B4-BE49-F238E27FC236}">
                  <a16:creationId xmlns:a16="http://schemas.microsoft.com/office/drawing/2014/main" id="{59D215D5-C658-B941-AD11-791E3EF3A1DB}"/>
                </a:ext>
              </a:extLst>
            </xdr:cNvPr>
            <xdr:cNvSpPr txBox="1"/>
          </xdr:nvSpPr>
          <xdr:spPr>
            <a:xfrm>
              <a:off x="4340243" y="39431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284096</xdr:colOff>
      <xdr:row>3</xdr:row>
      <xdr:rowOff>83713</xdr:rowOff>
    </xdr:from>
    <xdr:ext cx="23102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B74F1729-625D-C642-BAD9-737A343963CC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B74F1729-625D-C642-BAD9-737A343963CC}"/>
                </a:ext>
              </a:extLst>
            </xdr:cNvPr>
            <xdr:cNvSpPr txBox="1"/>
          </xdr:nvSpPr>
          <xdr:spPr>
            <a:xfrm>
              <a:off x="1935096" y="490113"/>
              <a:ext cx="23102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230391</xdr:colOff>
      <xdr:row>3</xdr:row>
      <xdr:rowOff>70863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D08D24CD-FF2A-A444-8B5A-B67B0E9CBC6B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D08D24CD-FF2A-A444-8B5A-B67B0E9CBC6B}"/>
                </a:ext>
              </a:extLst>
            </xdr:cNvPr>
            <xdr:cNvSpPr txBox="1"/>
          </xdr:nvSpPr>
          <xdr:spPr>
            <a:xfrm>
              <a:off x="2706891" y="477263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272102</xdr:colOff>
      <xdr:row>122</xdr:row>
      <xdr:rowOff>83713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8">
              <a:extLst>
                <a:ext uri="{FF2B5EF4-FFF2-40B4-BE49-F238E27FC236}">
                  <a16:creationId xmlns:a16="http://schemas.microsoft.com/office/drawing/2014/main" id="{87F7FF4A-70A7-BC46-A5C7-95523D8A5A0A}"/>
                </a:ext>
              </a:extLst>
            </xdr:cNvPr>
            <xdr:cNvSpPr txBox="1"/>
          </xdr:nvSpPr>
          <xdr:spPr>
            <a:xfrm>
              <a:off x="1923102" y="2545831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8">
              <a:extLst>
                <a:ext uri="{FF2B5EF4-FFF2-40B4-BE49-F238E27FC236}">
                  <a16:creationId xmlns:a16="http://schemas.microsoft.com/office/drawing/2014/main" id="{87F7FF4A-70A7-BC46-A5C7-95523D8A5A0A}"/>
                </a:ext>
              </a:extLst>
            </xdr:cNvPr>
            <xdr:cNvSpPr txBox="1"/>
          </xdr:nvSpPr>
          <xdr:spPr>
            <a:xfrm>
              <a:off x="1923102" y="25458313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259475</xdr:colOff>
      <xdr:row>122</xdr:row>
      <xdr:rowOff>66924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9">
              <a:extLst>
                <a:ext uri="{FF2B5EF4-FFF2-40B4-BE49-F238E27FC236}">
                  <a16:creationId xmlns:a16="http://schemas.microsoft.com/office/drawing/2014/main" id="{151E2E7A-4CD5-A245-99C3-7FF136366EAB}"/>
                </a:ext>
              </a:extLst>
            </xdr:cNvPr>
            <xdr:cNvSpPr txBox="1"/>
          </xdr:nvSpPr>
          <xdr:spPr>
            <a:xfrm>
              <a:off x="2735975" y="25441524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9">
              <a:extLst>
                <a:ext uri="{FF2B5EF4-FFF2-40B4-BE49-F238E27FC236}">
                  <a16:creationId xmlns:a16="http://schemas.microsoft.com/office/drawing/2014/main" id="{151E2E7A-4CD5-A245-99C3-7FF136366EAB}"/>
                </a:ext>
              </a:extLst>
            </xdr:cNvPr>
            <xdr:cNvSpPr txBox="1"/>
          </xdr:nvSpPr>
          <xdr:spPr>
            <a:xfrm>
              <a:off x="2735975" y="25441524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1</xdr:col>
      <xdr:colOff>174012</xdr:colOff>
      <xdr:row>153</xdr:row>
      <xdr:rowOff>166883</xdr:rowOff>
    </xdr:from>
    <xdr:to>
      <xdr:col>18</xdr:col>
      <xdr:colOff>1074616</xdr:colOff>
      <xdr:row>177</xdr:row>
      <xdr:rowOff>195609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589C63-815D-F247-98F3-1274B2186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304800</xdr:colOff>
      <xdr:row>2</xdr:row>
      <xdr:rowOff>101601</xdr:rowOff>
    </xdr:from>
    <xdr:to>
      <xdr:col>41</xdr:col>
      <xdr:colOff>215900</xdr:colOff>
      <xdr:row>26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3B0087-EE26-E44D-B779-51458048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228600</xdr:colOff>
      <xdr:row>32</xdr:row>
      <xdr:rowOff>114300</xdr:rowOff>
    </xdr:from>
    <xdr:to>
      <xdr:col>41</xdr:col>
      <xdr:colOff>139700</xdr:colOff>
      <xdr:row>56</xdr:row>
      <xdr:rowOff>12700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A6ED7A-E579-084E-9675-BED9C8401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638336</xdr:colOff>
      <xdr:row>61</xdr:row>
      <xdr:rowOff>166639</xdr:rowOff>
    </xdr:from>
    <xdr:to>
      <xdr:col>41</xdr:col>
      <xdr:colOff>549436</xdr:colOff>
      <xdr:row>85</xdr:row>
      <xdr:rowOff>62987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E71944-CB72-A84A-A615-00DF740DC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461817</xdr:colOff>
      <xdr:row>91</xdr:row>
      <xdr:rowOff>57727</xdr:rowOff>
    </xdr:from>
    <xdr:to>
      <xdr:col>41</xdr:col>
      <xdr:colOff>370993</xdr:colOff>
      <xdr:row>114</xdr:row>
      <xdr:rowOff>159327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916B65-7D96-994C-B9E4-7EAB2117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404090</xdr:colOff>
      <xdr:row>121</xdr:row>
      <xdr:rowOff>153939</xdr:rowOff>
    </xdr:from>
    <xdr:to>
      <xdr:col>41</xdr:col>
      <xdr:colOff>313266</xdr:colOff>
      <xdr:row>145</xdr:row>
      <xdr:rowOff>43873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6222F5-A27B-5346-9CA2-9E5E89C93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15</xdr:col>
      <xdr:colOff>76638</xdr:colOff>
      <xdr:row>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57DAB824-61EE-6A4C-96A7-1EAAE920E172}"/>
                </a:ext>
              </a:extLst>
            </xdr:cNvPr>
            <xdr:cNvSpPr txBox="1"/>
          </xdr:nvSpPr>
          <xdr:spPr>
            <a:xfrm>
              <a:off x="9068238" y="4830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57DAB824-61EE-6A4C-96A7-1EAAE920E172}"/>
                </a:ext>
              </a:extLst>
            </xdr:cNvPr>
            <xdr:cNvSpPr txBox="1"/>
          </xdr:nvSpPr>
          <xdr:spPr>
            <a:xfrm>
              <a:off x="9068238" y="4830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EC968D57-3482-F94F-9C83-3F0B1BEC8FB9}"/>
                </a:ext>
              </a:extLst>
            </xdr:cNvPr>
            <xdr:cNvSpPr txBox="1"/>
          </xdr:nvSpPr>
          <xdr:spPr>
            <a:xfrm>
              <a:off x="9510549" y="4611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EC968D57-3482-F94F-9C83-3F0B1BEC8FB9}"/>
                </a:ext>
              </a:extLst>
            </xdr:cNvPr>
            <xdr:cNvSpPr txBox="1"/>
          </xdr:nvSpPr>
          <xdr:spPr>
            <a:xfrm>
              <a:off x="9510549" y="4611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ACAC68C3-7B05-E042-B254-257266AFAB3F}"/>
                </a:ext>
              </a:extLst>
            </xdr:cNvPr>
            <xdr:cNvSpPr txBox="1"/>
          </xdr:nvSpPr>
          <xdr:spPr>
            <a:xfrm>
              <a:off x="135386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ACAC68C3-7B05-E042-B254-257266AFAB3F}"/>
                </a:ext>
              </a:extLst>
            </xdr:cNvPr>
            <xdr:cNvSpPr txBox="1"/>
          </xdr:nvSpPr>
          <xdr:spPr>
            <a:xfrm>
              <a:off x="13538638" y="4862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AC1AE981-4AF7-584E-96D9-D1B92A177233}"/>
                </a:ext>
              </a:extLst>
            </xdr:cNvPr>
            <xdr:cNvSpPr txBox="1"/>
          </xdr:nvSpPr>
          <xdr:spPr>
            <a:xfrm>
              <a:off x="139583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AC1AE981-4AF7-584E-96D9-D1B92A177233}"/>
                </a:ext>
              </a:extLst>
            </xdr:cNvPr>
            <xdr:cNvSpPr txBox="1"/>
          </xdr:nvSpPr>
          <xdr:spPr>
            <a:xfrm>
              <a:off x="13958396" y="4674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67B328EB-4F60-7646-B903-9DDD0DDD0CE7}"/>
                </a:ext>
              </a:extLst>
            </xdr:cNvPr>
            <xdr:cNvSpPr txBox="1"/>
          </xdr:nvSpPr>
          <xdr:spPr>
            <a:xfrm>
              <a:off x="11254823" y="4939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8" name="CuadroTexto 5">
              <a:extLst>
                <a:ext uri="{FF2B5EF4-FFF2-40B4-BE49-F238E27FC236}">
                  <a16:creationId xmlns:a16="http://schemas.microsoft.com/office/drawing/2014/main" id="{67B328EB-4F60-7646-B903-9DDD0DDD0CE7}"/>
                </a:ext>
              </a:extLst>
            </xdr:cNvPr>
            <xdr:cNvSpPr txBox="1"/>
          </xdr:nvSpPr>
          <xdr:spPr>
            <a:xfrm>
              <a:off x="11254823" y="4939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C56F94BA-A627-B540-A9F1-285752114FB6}"/>
                </a:ext>
              </a:extLst>
            </xdr:cNvPr>
            <xdr:cNvSpPr txBox="1"/>
          </xdr:nvSpPr>
          <xdr:spPr>
            <a:xfrm>
              <a:off x="161290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19" name="CuadroTexto 5">
              <a:extLst>
                <a:ext uri="{FF2B5EF4-FFF2-40B4-BE49-F238E27FC236}">
                  <a16:creationId xmlns:a16="http://schemas.microsoft.com/office/drawing/2014/main" id="{C56F94BA-A627-B540-A9F1-285752114FB6}"/>
                </a:ext>
              </a:extLst>
            </xdr:cNvPr>
            <xdr:cNvSpPr txBox="1"/>
          </xdr:nvSpPr>
          <xdr:spPr>
            <a:xfrm>
              <a:off x="16129000" y="4636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98FDCD9C-11F8-9845-A401-E7630E5E2405}"/>
                </a:ext>
              </a:extLst>
            </xdr:cNvPr>
            <xdr:cNvSpPr txBox="1"/>
          </xdr:nvSpPr>
          <xdr:spPr>
            <a:xfrm>
              <a:off x="156864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0" name="CuadroTexto 5">
              <a:extLst>
                <a:ext uri="{FF2B5EF4-FFF2-40B4-BE49-F238E27FC236}">
                  <a16:creationId xmlns:a16="http://schemas.microsoft.com/office/drawing/2014/main" id="{98FDCD9C-11F8-9845-A401-E7630E5E2405}"/>
                </a:ext>
              </a:extLst>
            </xdr:cNvPr>
            <xdr:cNvSpPr txBox="1"/>
          </xdr:nvSpPr>
          <xdr:spPr>
            <a:xfrm>
              <a:off x="15686431" y="4859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777951</xdr:colOff>
      <xdr:row>26</xdr:row>
      <xdr:rowOff>159120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29438E9-53B0-2D4F-950E-67A8BE4C796E}"/>
                </a:ext>
              </a:extLst>
            </xdr:cNvPr>
            <xdr:cNvSpPr txBox="1"/>
          </xdr:nvSpPr>
          <xdr:spPr>
            <a:xfrm>
              <a:off x="777951" y="5416920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−1;−2;−1;−6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29438E9-53B0-2D4F-950E-67A8BE4C796E}"/>
                </a:ext>
              </a:extLst>
            </xdr:cNvPr>
            <xdr:cNvSpPr txBox="1"/>
          </xdr:nvSpPr>
          <xdr:spPr>
            <a:xfrm>
              <a:off x="777951" y="5416920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)=47(−1;−2;−1;−6)𝑑𝐵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388582</xdr:colOff>
      <xdr:row>28</xdr:row>
      <xdr:rowOff>4738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61A0BE1-E31A-184D-8432-7D6251BA2670}"/>
                </a:ext>
              </a:extLst>
            </xdr:cNvPr>
            <xdr:cNvSpPr txBox="1"/>
          </xdr:nvSpPr>
          <xdr:spPr>
            <a:xfrm>
              <a:off x="5989282" y="5668938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61A0BE1-E31A-184D-8432-7D6251BA2670}"/>
                </a:ext>
              </a:extLst>
            </xdr:cNvPr>
            <xdr:cNvSpPr txBox="1"/>
          </xdr:nvSpPr>
          <xdr:spPr>
            <a:xfrm>
              <a:off x="5989282" y="5668938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322996</xdr:colOff>
      <xdr:row>27</xdr:row>
      <xdr:rowOff>195049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24DF980-F844-1B49-8FBC-9861EB38D669}"/>
                </a:ext>
              </a:extLst>
            </xdr:cNvPr>
            <xdr:cNvSpPr txBox="1"/>
          </xdr:nvSpPr>
          <xdr:spPr>
            <a:xfrm>
              <a:off x="10851296" y="565604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24DF980-F844-1B49-8FBC-9861EB38D669}"/>
                </a:ext>
              </a:extLst>
            </xdr:cNvPr>
            <xdr:cNvSpPr txBox="1"/>
          </xdr:nvSpPr>
          <xdr:spPr>
            <a:xfrm>
              <a:off x="10851296" y="565604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50−5000)=47+(−6)=41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194304</xdr:colOff>
      <xdr:row>27</xdr:row>
      <xdr:rowOff>4858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CD8C228-BD48-B448-B6B0-23A3890E1DB5}"/>
                </a:ext>
              </a:extLst>
            </xdr:cNvPr>
            <xdr:cNvSpPr txBox="1"/>
          </xdr:nvSpPr>
          <xdr:spPr>
            <a:xfrm>
              <a:off x="5795004" y="546585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CD8C228-BD48-B448-B6B0-23A3890E1DB5}"/>
                </a:ext>
              </a:extLst>
            </xdr:cNvPr>
            <xdr:cNvSpPr txBox="1"/>
          </xdr:nvSpPr>
          <xdr:spPr>
            <a:xfrm>
              <a:off x="5795004" y="5465858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𝑤^′+𝐶=47+(−1)=46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51241</xdr:colOff>
      <xdr:row>27</xdr:row>
      <xdr:rowOff>87324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FF1F847-858E-7444-AB30-19C55DD6EAEC}"/>
                </a:ext>
              </a:extLst>
            </xdr:cNvPr>
            <xdr:cNvSpPr txBox="1"/>
          </xdr:nvSpPr>
          <xdr:spPr>
            <a:xfrm>
              <a:off x="10596089" y="580873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FF1F847-858E-7444-AB30-19C55DD6EAEC}"/>
                </a:ext>
              </a:extLst>
            </xdr:cNvPr>
            <xdr:cNvSpPr txBox="1"/>
          </xdr:nvSpPr>
          <xdr:spPr>
            <a:xfrm>
              <a:off x="10596089" y="580873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𝑤^′+𝐶_𝑡𝑟=47+(−2)=45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185856</xdr:colOff>
      <xdr:row>32</xdr:row>
      <xdr:rowOff>197229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5C98E092-00D5-7348-8080-D66F3DAD975B}"/>
                </a:ext>
              </a:extLst>
            </xdr:cNvPr>
            <xdr:cNvSpPr txBox="1"/>
          </xdr:nvSpPr>
          <xdr:spPr>
            <a:xfrm>
              <a:off x="4313356" y="6674229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5C98E092-00D5-7348-8080-D66F3DAD975B}"/>
                </a:ext>
              </a:extLst>
            </xdr:cNvPr>
            <xdr:cNvSpPr txBox="1"/>
          </xdr:nvSpPr>
          <xdr:spPr>
            <a:xfrm>
              <a:off x="4313356" y="6674229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217137</xdr:colOff>
      <xdr:row>62</xdr:row>
      <xdr:rowOff>191740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A4B46F85-2F93-1040-A24F-EF7B334DEE84}"/>
                </a:ext>
              </a:extLst>
            </xdr:cNvPr>
            <xdr:cNvSpPr txBox="1"/>
          </xdr:nvSpPr>
          <xdr:spPr>
            <a:xfrm>
              <a:off x="4344637" y="1295524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7" name="CuadroTexto 5">
              <a:extLst>
                <a:ext uri="{FF2B5EF4-FFF2-40B4-BE49-F238E27FC236}">
                  <a16:creationId xmlns:a16="http://schemas.microsoft.com/office/drawing/2014/main" id="{A4B46F85-2F93-1040-A24F-EF7B334DEE84}"/>
                </a:ext>
              </a:extLst>
            </xdr:cNvPr>
            <xdr:cNvSpPr txBox="1"/>
          </xdr:nvSpPr>
          <xdr:spPr>
            <a:xfrm>
              <a:off x="4344637" y="12955240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315647</xdr:colOff>
      <xdr:row>92</xdr:row>
      <xdr:rowOff>20307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4E7791DF-B94E-9D42-9CBC-71A0C4DF2F78}"/>
                </a:ext>
              </a:extLst>
            </xdr:cNvPr>
            <xdr:cNvSpPr txBox="1"/>
          </xdr:nvSpPr>
          <xdr:spPr>
            <a:xfrm>
              <a:off x="4443147" y="19108407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8" name="CuadroTexto 5">
              <a:extLst>
                <a:ext uri="{FF2B5EF4-FFF2-40B4-BE49-F238E27FC236}">
                  <a16:creationId xmlns:a16="http://schemas.microsoft.com/office/drawing/2014/main" id="{4E7791DF-B94E-9D42-9CBC-71A0C4DF2F78}"/>
                </a:ext>
              </a:extLst>
            </xdr:cNvPr>
            <xdr:cNvSpPr txBox="1"/>
          </xdr:nvSpPr>
          <xdr:spPr>
            <a:xfrm>
              <a:off x="4443147" y="19108407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5</xdr:col>
      <xdr:colOff>212601</xdr:colOff>
      <xdr:row>122</xdr:row>
      <xdr:rowOff>12298</xdr:rowOff>
    </xdr:from>
    <xdr:ext cx="20133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60910ED4-D081-6A46-BEEC-1866D51B692C}"/>
                </a:ext>
              </a:extLst>
            </xdr:cNvPr>
            <xdr:cNvSpPr txBox="1"/>
          </xdr:nvSpPr>
          <xdr:spPr>
            <a:xfrm>
              <a:off x="4340101" y="25386898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9" name="CuadroTexto 5">
              <a:extLst>
                <a:ext uri="{FF2B5EF4-FFF2-40B4-BE49-F238E27FC236}">
                  <a16:creationId xmlns:a16="http://schemas.microsoft.com/office/drawing/2014/main" id="{60910ED4-D081-6A46-BEEC-1866D51B692C}"/>
                </a:ext>
              </a:extLst>
            </xdr:cNvPr>
            <xdr:cNvSpPr txBox="1"/>
          </xdr:nvSpPr>
          <xdr:spPr>
            <a:xfrm>
              <a:off x="4340101" y="25386898"/>
              <a:ext cx="20133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i="0">
                  <a:latin typeface="Cambria Math" panose="02040503050406030204" pitchFamily="18" charset="0"/>
                </a:rPr>
                <a:t>𝑅</a:t>
              </a:r>
              <a:r>
                <a:rPr lang="es-ES" sz="14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155965</xdr:colOff>
      <xdr:row>57</xdr:row>
      <xdr:rowOff>77982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4AD414-5659-0D44-9D3E-A0332323999E}"/>
                </a:ext>
              </a:extLst>
            </xdr:cNvPr>
            <xdr:cNvSpPr txBox="1"/>
          </xdr:nvSpPr>
          <xdr:spPr>
            <a:xfrm>
              <a:off x="981465" y="11825482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=24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−4;−4;−4;−6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4AD414-5659-0D44-9D3E-A0332323999E}"/>
                </a:ext>
              </a:extLst>
            </xdr:cNvPr>
            <xdr:cNvSpPr txBox="1"/>
          </xdr:nvSpPr>
          <xdr:spPr>
            <a:xfrm>
              <a:off x="981465" y="11825482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)=24(−4;−4;−4;−6)𝑑𝐵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145368</xdr:colOff>
      <xdr:row>58</xdr:row>
      <xdr:rowOff>124126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2800D270-64C6-5149-BEF6-BCD7E2C9686B}"/>
                </a:ext>
              </a:extLst>
            </xdr:cNvPr>
            <xdr:cNvSpPr txBox="1"/>
          </xdr:nvSpPr>
          <xdr:spPr>
            <a:xfrm>
              <a:off x="6190568" y="12074826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2800D270-64C6-5149-BEF6-BCD7E2C9686B}"/>
                </a:ext>
              </a:extLst>
            </xdr:cNvPr>
            <xdr:cNvSpPr txBox="1"/>
          </xdr:nvSpPr>
          <xdr:spPr>
            <a:xfrm>
              <a:off x="6190568" y="12074826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525396</xdr:colOff>
      <xdr:row>58</xdr:row>
      <xdr:rowOff>113911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6C7E26FA-2E36-A342-A0AF-0A94F7D96C3C}"/>
                </a:ext>
              </a:extLst>
            </xdr:cNvPr>
            <xdr:cNvSpPr txBox="1"/>
          </xdr:nvSpPr>
          <xdr:spPr>
            <a:xfrm>
              <a:off x="11053696" y="12064611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=18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6C7E26FA-2E36-A342-A0AF-0A94F7D96C3C}"/>
                </a:ext>
              </a:extLst>
            </xdr:cNvPr>
            <xdr:cNvSpPr txBox="1"/>
          </xdr:nvSpPr>
          <xdr:spPr>
            <a:xfrm>
              <a:off x="11053696" y="12064611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50−5000)=24+(−6)=18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150865</xdr:colOff>
      <xdr:row>57</xdr:row>
      <xdr:rowOff>94956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A5780BAE-7361-1F40-88C6-56A61F368672}"/>
                </a:ext>
              </a:extLst>
            </xdr:cNvPr>
            <xdr:cNvSpPr txBox="1"/>
          </xdr:nvSpPr>
          <xdr:spPr>
            <a:xfrm>
              <a:off x="6196065" y="11842456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A5780BAE-7361-1F40-88C6-56A61F368672}"/>
                </a:ext>
              </a:extLst>
            </xdr:cNvPr>
            <xdr:cNvSpPr txBox="1"/>
          </xdr:nvSpPr>
          <xdr:spPr>
            <a:xfrm>
              <a:off x="6196065" y="11842456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511937</xdr:colOff>
      <xdr:row>57</xdr:row>
      <xdr:rowOff>100453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892A280-5146-A64B-BDA3-78ED7DF4F547}"/>
                </a:ext>
              </a:extLst>
            </xdr:cNvPr>
            <xdr:cNvSpPr txBox="1"/>
          </xdr:nvSpPr>
          <xdr:spPr>
            <a:xfrm>
              <a:off x="11040237" y="11847953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=24+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=20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892A280-5146-A64B-BDA3-78ED7DF4F547}"/>
                </a:ext>
              </a:extLst>
            </xdr:cNvPr>
            <xdr:cNvSpPr txBox="1"/>
          </xdr:nvSpPr>
          <xdr:spPr>
            <a:xfrm>
              <a:off x="11040237" y="11847953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𝑤^′+𝐶_𝑡𝑟=24+(−4)=20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0</xdr:col>
      <xdr:colOff>745670</xdr:colOff>
      <xdr:row>87</xdr:row>
      <xdr:rowOff>104014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ECE3D7E4-D0C4-D842-A065-CFC1F061C16B}"/>
                </a:ext>
              </a:extLst>
            </xdr:cNvPr>
            <xdr:cNvSpPr txBox="1"/>
          </xdr:nvSpPr>
          <xdr:spPr>
            <a:xfrm>
              <a:off x="745670" y="18176114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0;−2;0;−3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ECE3D7E4-D0C4-D842-A065-CFC1F061C16B}"/>
                </a:ext>
              </a:extLst>
            </xdr:cNvPr>
            <xdr:cNvSpPr txBox="1"/>
          </xdr:nvSpPr>
          <xdr:spPr>
            <a:xfrm>
              <a:off x="745670" y="18176114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)=37(0;−2;0;−3)𝑑𝐵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88</xdr:row>
      <xdr:rowOff>46144</xdr:rowOff>
    </xdr:from>
    <xdr:ext cx="448937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19E4BBA-966A-B14E-8F24-6463A023DB7D}"/>
                </a:ext>
              </a:extLst>
            </xdr:cNvPr>
            <xdr:cNvSpPr txBox="1"/>
          </xdr:nvSpPr>
          <xdr:spPr>
            <a:xfrm>
              <a:off x="6034603" y="18321444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19E4BBA-966A-B14E-8F24-6463A023DB7D}"/>
                </a:ext>
              </a:extLst>
            </xdr:cNvPr>
            <xdr:cNvSpPr txBox="1"/>
          </xdr:nvSpPr>
          <xdr:spPr>
            <a:xfrm>
              <a:off x="6034603" y="18321444"/>
              <a:ext cx="448937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88</xdr:row>
      <xdr:rowOff>35929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6E2AD840-9A0B-FC4A-BE9B-9FDB732703DF}"/>
                </a:ext>
              </a:extLst>
            </xdr:cNvPr>
            <xdr:cNvSpPr txBox="1"/>
          </xdr:nvSpPr>
          <xdr:spPr>
            <a:xfrm>
              <a:off x="10897731" y="1831122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=34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6E2AD840-9A0B-FC4A-BE9B-9FDB732703DF}"/>
                </a:ext>
              </a:extLst>
            </xdr:cNvPr>
            <xdr:cNvSpPr txBox="1"/>
          </xdr:nvSpPr>
          <xdr:spPr>
            <a:xfrm>
              <a:off x="10897731" y="18311229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50−5000)=37+(−3)=34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41723</xdr:colOff>
      <xdr:row>87</xdr:row>
      <xdr:rowOff>93944</xdr:rowOff>
    </xdr:from>
    <xdr:ext cx="3284489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10E8AE0-C60F-5C40-BBEE-0B2D4349E1C7}"/>
                </a:ext>
              </a:extLst>
            </xdr:cNvPr>
            <xdr:cNvSpPr txBox="1"/>
          </xdr:nvSpPr>
          <xdr:spPr>
            <a:xfrm>
              <a:off x="5642423" y="18166044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10E8AE0-C60F-5C40-BBEE-0B2D4349E1C7}"/>
                </a:ext>
              </a:extLst>
            </xdr:cNvPr>
            <xdr:cNvSpPr txBox="1"/>
          </xdr:nvSpPr>
          <xdr:spPr>
            <a:xfrm>
              <a:off x="5642423" y="18166044"/>
              <a:ext cx="3284489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𝑤^′+𝐶=37+(0)=37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87</xdr:row>
      <xdr:rowOff>125098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25411C6-2283-844D-899B-C6B3E49FB710}"/>
                </a:ext>
              </a:extLst>
            </xdr:cNvPr>
            <xdr:cNvSpPr txBox="1"/>
          </xdr:nvSpPr>
          <xdr:spPr>
            <a:xfrm>
              <a:off x="10884272" y="1819719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=37+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25411C6-2283-844D-899B-C6B3E49FB710}"/>
                </a:ext>
              </a:extLst>
            </xdr:cNvPr>
            <xdr:cNvSpPr txBox="1"/>
          </xdr:nvSpPr>
          <xdr:spPr>
            <a:xfrm>
              <a:off x="10884272" y="1819719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𝑤^′+𝐶_𝑡𝑟=37+(−2)=35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1629</xdr:colOff>
      <xdr:row>117</xdr:row>
      <xdr:rowOff>0</xdr:rowOff>
    </xdr:from>
    <xdr:ext cx="5091330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D99DF4E-1112-1744-887C-42190AB5DA2C}"/>
                </a:ext>
              </a:extLst>
            </xdr:cNvPr>
            <xdr:cNvSpPr txBox="1"/>
          </xdr:nvSpPr>
          <xdr:spPr>
            <a:xfrm>
              <a:off x="827129" y="24358600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−2;−4;−1;−5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D99DF4E-1112-1744-887C-42190AB5DA2C}"/>
                </a:ext>
              </a:extLst>
            </xdr:cNvPr>
            <xdr:cNvSpPr txBox="1"/>
          </xdr:nvSpPr>
          <xdr:spPr>
            <a:xfrm>
              <a:off x="827129" y="24358600"/>
              <a:ext cx="5091330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)=41(−2;−4;−1;−5)𝑑𝐵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118</xdr:row>
      <xdr:rowOff>42591</xdr:rowOff>
    </xdr:from>
    <xdr:ext cx="4642681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4DF2B840-FCBA-E548-99FB-6472CBAD829A}"/>
                </a:ext>
              </a:extLst>
            </xdr:cNvPr>
            <xdr:cNvSpPr txBox="1"/>
          </xdr:nvSpPr>
          <xdr:spPr>
            <a:xfrm>
              <a:off x="6034603" y="24604391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=40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4DF2B840-FCBA-E548-99FB-6472CBAD829A}"/>
                </a:ext>
              </a:extLst>
            </xdr:cNvPr>
            <xdr:cNvSpPr txBox="1"/>
          </xdr:nvSpPr>
          <xdr:spPr>
            <a:xfrm>
              <a:off x="6034603" y="24604391"/>
              <a:ext cx="4642681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𝑤^′+𝐶_(50−5000)=41+(−1)=40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118</xdr:row>
      <xdr:rowOff>32376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4A85E819-25A6-3042-AB78-F8B04E549D31}"/>
                </a:ext>
              </a:extLst>
            </xdr:cNvPr>
            <xdr:cNvSpPr txBox="1"/>
          </xdr:nvSpPr>
          <xdr:spPr>
            <a:xfrm>
              <a:off x="10897731" y="2459417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=36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4A85E819-25A6-3042-AB78-F8B04E549D31}"/>
                </a:ext>
              </a:extLst>
            </xdr:cNvPr>
            <xdr:cNvSpPr txBox="1"/>
          </xdr:nvSpPr>
          <xdr:spPr>
            <a:xfrm>
              <a:off x="10897731" y="24594176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50−5000)=41+(−5)=36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117</xdr:row>
      <xdr:rowOff>13421</xdr:rowOff>
    </xdr:from>
    <xdr:ext cx="3437801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481C2B8-B1A2-294E-B4B3-CE2ED781502F}"/>
                </a:ext>
              </a:extLst>
            </xdr:cNvPr>
            <xdr:cNvSpPr txBox="1"/>
          </xdr:nvSpPr>
          <xdr:spPr>
            <a:xfrm>
              <a:off x="6045441" y="24372021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=39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481C2B8-B1A2-294E-B4B3-CE2ED781502F}"/>
                </a:ext>
              </a:extLst>
            </xdr:cNvPr>
            <xdr:cNvSpPr txBox="1"/>
          </xdr:nvSpPr>
          <xdr:spPr>
            <a:xfrm>
              <a:off x="6045441" y="24372021"/>
              <a:ext cx="3437801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𝑤^′+𝐶=41+(−2)=39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117</xdr:row>
      <xdr:rowOff>18918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2DDB4B23-735E-134C-889F-8EA1558C26C5}"/>
                </a:ext>
              </a:extLst>
            </xdr:cNvPr>
            <xdr:cNvSpPr txBox="1"/>
          </xdr:nvSpPr>
          <xdr:spPr>
            <a:xfrm>
              <a:off x="10884272" y="2437751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=41+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=37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2DDB4B23-735E-134C-889F-8EA1558C26C5}"/>
                </a:ext>
              </a:extLst>
            </xdr:cNvPr>
            <xdr:cNvSpPr txBox="1"/>
          </xdr:nvSpPr>
          <xdr:spPr>
            <a:xfrm>
              <a:off x="10884272" y="2437751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𝑤^′+𝐶_𝑡𝑟=41+(−4)=37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1629</xdr:colOff>
      <xdr:row>147</xdr:row>
      <xdr:rowOff>0</xdr:rowOff>
    </xdr:from>
    <xdr:ext cx="4784708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BAFEE10-9FF5-774D-BEB3-47CA7A74E426}"/>
                </a:ext>
              </a:extLst>
            </xdr:cNvPr>
            <xdr:cNvSpPr txBox="1"/>
          </xdr:nvSpPr>
          <xdr:spPr>
            <a:xfrm>
              <a:off x="827129" y="30670500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50−5000</m:t>
                            </m:r>
                          </m:sub>
                        </m:s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𝑡𝑟</m:t>
                            </m:r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,50−5000</m:t>
                            </m:r>
                          </m:sub>
                        </m:sSub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=61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0;−6;0;−8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BAFEE10-9FF5-774D-BEB3-47CA7A74E426}"/>
                </a:ext>
              </a:extLst>
            </xdr:cNvPr>
            <xdr:cNvSpPr txBox="1"/>
          </xdr:nvSpPr>
          <xdr:spPr>
            <a:xfrm>
              <a:off x="827129" y="30670500"/>
              <a:ext cx="4784708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 (〖𝐶;𝐶〗_𝑡𝑟;𝐶_(50−5000);𝐶_(𝑡𝑟,50−5000) )=61(0;−6;0;−8)𝑑𝐵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8</xdr:col>
      <xdr:colOff>433903</xdr:colOff>
      <xdr:row>148</xdr:row>
      <xdr:rowOff>42590</xdr:rowOff>
    </xdr:from>
    <xdr:ext cx="4319067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FC496736-7771-424C-9F77-3E70D5AB4494}"/>
                </a:ext>
              </a:extLst>
            </xdr:cNvPr>
            <xdr:cNvSpPr txBox="1"/>
          </xdr:nvSpPr>
          <xdr:spPr>
            <a:xfrm>
              <a:off x="6034603" y="30916290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FC496736-7771-424C-9F77-3E70D5AB4494}"/>
                </a:ext>
              </a:extLst>
            </xdr:cNvPr>
            <xdr:cNvSpPr txBox="1"/>
          </xdr:nvSpPr>
          <xdr:spPr>
            <a:xfrm>
              <a:off x="6034603" y="30916290"/>
              <a:ext cx="4319067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𝑤^′+𝐶_(50−5000)=61+0=61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369431</xdr:colOff>
      <xdr:row>148</xdr:row>
      <xdr:rowOff>32375</xdr:rowOff>
    </xdr:from>
    <xdr:ext cx="4823372" cy="279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F067628-A176-D845-A171-4B0B2E6279AA}"/>
                </a:ext>
              </a:extLst>
            </xdr:cNvPr>
            <xdr:cNvSpPr txBox="1"/>
          </xdr:nvSpPr>
          <xdr:spPr>
            <a:xfrm>
              <a:off x="10897731" y="30906075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,2(50−5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 50−5000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−8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=53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F067628-A176-D845-A171-4B0B2E6279AA}"/>
                </a:ext>
              </a:extLst>
            </xdr:cNvPr>
            <xdr:cNvSpPr txBox="1"/>
          </xdr:nvSpPr>
          <xdr:spPr>
            <a:xfrm>
              <a:off x="10897731" y="30906075"/>
              <a:ext cx="4823372" cy="279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𝑤,𝐴,2(50−5𝑘)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𝑤^′+𝐶_(𝑡𝑟, 50−5000)=61+(−8)=53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9</xdr:col>
      <xdr:colOff>241</xdr:colOff>
      <xdr:row>147</xdr:row>
      <xdr:rowOff>13421</xdr:rowOff>
    </xdr:from>
    <xdr:ext cx="3114186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CF5DD521-78FC-6444-82AF-89C769B13535}"/>
                </a:ext>
              </a:extLst>
            </xdr:cNvPr>
            <xdr:cNvSpPr txBox="1"/>
          </xdr:nvSpPr>
          <xdr:spPr>
            <a:xfrm>
              <a:off x="6045441" y="30683921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=61+0=61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CF5DD521-78FC-6444-82AF-89C769B13535}"/>
                </a:ext>
              </a:extLst>
            </xdr:cNvPr>
            <xdr:cNvSpPr txBox="1"/>
          </xdr:nvSpPr>
          <xdr:spPr>
            <a:xfrm>
              <a:off x="6045441" y="30683921"/>
              <a:ext cx="3114186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𝑤,𝐴,1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𝑤^′+𝐶=61+0=61 𝑑𝐵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17</xdr:col>
      <xdr:colOff>355972</xdr:colOff>
      <xdr:row>147</xdr:row>
      <xdr:rowOff>18918</xdr:rowOff>
    </xdr:from>
    <xdr:ext cx="3575274" cy="261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46F7C9-6A02-5D42-AD2C-D215800E2A33}"/>
                </a:ext>
              </a:extLst>
            </xdr:cNvPr>
            <xdr:cNvSpPr txBox="1"/>
          </xdr:nvSpPr>
          <xdr:spPr>
            <a:xfrm>
              <a:off x="10884272" y="3068941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ES_tradnl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=61+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=55 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𝑑𝐵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46F7C9-6A02-5D42-AD2C-D215800E2A33}"/>
                </a:ext>
              </a:extLst>
            </xdr:cNvPr>
            <xdr:cNvSpPr txBox="1"/>
          </xdr:nvSpPr>
          <xdr:spPr>
            <a:xfrm>
              <a:off x="10884272" y="30689418"/>
              <a:ext cx="3575274" cy="261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𝑅</a:t>
              </a:r>
              <a:r>
                <a:rPr lang="es-ES_tradnl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𝑤,𝐴,2</a:t>
              </a:r>
              <a:r>
                <a:rPr lang="es-ES_tradnl" sz="1600" b="0" i="0">
                  <a:latin typeface="Cambria Math" panose="02040503050406030204" pitchFamily="18" charset="0"/>
                </a:rPr>
                <a:t>)</a:t>
              </a:r>
              <a:r>
                <a:rPr lang="es-ES" sz="1600" b="0" i="0">
                  <a:latin typeface="Cambria Math" panose="02040503050406030204" pitchFamily="18" charset="0"/>
                </a:rPr>
                <a:t>^′=𝑅</a:t>
              </a:r>
              <a:r>
                <a:rPr lang="es-ES_tradnl" sz="1600" b="0" i="0"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latin typeface="Cambria Math" panose="02040503050406030204" pitchFamily="18" charset="0"/>
                </a:rPr>
                <a:t>𝑤^′+𝐶_𝑡𝑟=61+(−6)=55 𝑑𝐵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25</xdr:col>
      <xdr:colOff>995680</xdr:colOff>
      <xdr:row>149</xdr:row>
      <xdr:rowOff>74692</xdr:rowOff>
    </xdr:from>
    <xdr:to>
      <xdr:col>29</xdr:col>
      <xdr:colOff>296418</xdr:colOff>
      <xdr:row>153</xdr:row>
      <xdr:rowOff>70606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FFDDB2A1-DAF6-4F41-B3E0-2E664DF54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72145" y="31465500"/>
          <a:ext cx="2815687" cy="816924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E06CA31C-C765-BF4D-8309-B7D1D3EC3100}"/>
                </a:ext>
              </a:extLst>
            </xdr:cNvPr>
            <xdr:cNvSpPr txBox="1"/>
          </xdr:nvSpPr>
          <xdr:spPr>
            <a:xfrm>
              <a:off x="11684000" y="4920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E06CA31C-C765-BF4D-8309-B7D1D3EC3100}"/>
                </a:ext>
              </a:extLst>
            </xdr:cNvPr>
            <xdr:cNvSpPr txBox="1"/>
          </xdr:nvSpPr>
          <xdr:spPr>
            <a:xfrm>
              <a:off x="11684000" y="4920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231752</xdr:colOff>
      <xdr:row>92</xdr:row>
      <xdr:rowOff>92700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8">
              <a:extLst>
                <a:ext uri="{FF2B5EF4-FFF2-40B4-BE49-F238E27FC236}">
                  <a16:creationId xmlns:a16="http://schemas.microsoft.com/office/drawing/2014/main" id="{AECB5542-1E9D-1E40-8E51-8AF72279228B}"/>
                </a:ext>
              </a:extLst>
            </xdr:cNvPr>
            <xdr:cNvSpPr txBox="1"/>
          </xdr:nvSpPr>
          <xdr:spPr>
            <a:xfrm>
              <a:off x="1882752" y="1918080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2" name="CuadroTexto 8">
              <a:extLst>
                <a:ext uri="{FF2B5EF4-FFF2-40B4-BE49-F238E27FC236}">
                  <a16:creationId xmlns:a16="http://schemas.microsoft.com/office/drawing/2014/main" id="{AECB5542-1E9D-1E40-8E51-8AF72279228B}"/>
                </a:ext>
              </a:extLst>
            </xdr:cNvPr>
            <xdr:cNvSpPr txBox="1"/>
          </xdr:nvSpPr>
          <xdr:spPr>
            <a:xfrm>
              <a:off x="1882752" y="19180800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209855</xdr:colOff>
      <xdr:row>92</xdr:row>
      <xdr:rowOff>94451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9">
              <a:extLst>
                <a:ext uri="{FF2B5EF4-FFF2-40B4-BE49-F238E27FC236}">
                  <a16:creationId xmlns:a16="http://schemas.microsoft.com/office/drawing/2014/main" id="{7E68B3AD-39F4-C34F-977A-9DB3152BAD46}"/>
                </a:ext>
              </a:extLst>
            </xdr:cNvPr>
            <xdr:cNvSpPr txBox="1"/>
          </xdr:nvSpPr>
          <xdr:spPr>
            <a:xfrm>
              <a:off x="2686355" y="1918255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3" name="CuadroTexto 9">
              <a:extLst>
                <a:ext uri="{FF2B5EF4-FFF2-40B4-BE49-F238E27FC236}">
                  <a16:creationId xmlns:a16="http://schemas.microsoft.com/office/drawing/2014/main" id="{7E68B3AD-39F4-C34F-977A-9DB3152BAD46}"/>
                </a:ext>
              </a:extLst>
            </xdr:cNvPr>
            <xdr:cNvSpPr txBox="1"/>
          </xdr:nvSpPr>
          <xdr:spPr>
            <a:xfrm>
              <a:off x="2686355" y="19182551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305912</xdr:colOff>
      <xdr:row>63</xdr:row>
      <xdr:rowOff>92701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8">
              <a:extLst>
                <a:ext uri="{FF2B5EF4-FFF2-40B4-BE49-F238E27FC236}">
                  <a16:creationId xmlns:a16="http://schemas.microsoft.com/office/drawing/2014/main" id="{4BC5848D-914D-894C-BE56-FDD4AEE967F9}"/>
                </a:ext>
              </a:extLst>
            </xdr:cNvPr>
            <xdr:cNvSpPr txBox="1"/>
          </xdr:nvSpPr>
          <xdr:spPr>
            <a:xfrm>
              <a:off x="1956912" y="13059401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4" name="CuadroTexto 8">
              <a:extLst>
                <a:ext uri="{FF2B5EF4-FFF2-40B4-BE49-F238E27FC236}">
                  <a16:creationId xmlns:a16="http://schemas.microsoft.com/office/drawing/2014/main" id="{4BC5848D-914D-894C-BE56-FDD4AEE967F9}"/>
                </a:ext>
              </a:extLst>
            </xdr:cNvPr>
            <xdr:cNvSpPr txBox="1"/>
          </xdr:nvSpPr>
          <xdr:spPr>
            <a:xfrm>
              <a:off x="1956912" y="13059401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284015</xdr:colOff>
      <xdr:row>63</xdr:row>
      <xdr:rowOff>94452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9">
              <a:extLst>
                <a:ext uri="{FF2B5EF4-FFF2-40B4-BE49-F238E27FC236}">
                  <a16:creationId xmlns:a16="http://schemas.microsoft.com/office/drawing/2014/main" id="{CFD26B1C-D21E-AA40-BFF1-9AB63FF45028}"/>
                </a:ext>
              </a:extLst>
            </xdr:cNvPr>
            <xdr:cNvSpPr txBox="1"/>
          </xdr:nvSpPr>
          <xdr:spPr>
            <a:xfrm>
              <a:off x="2760515" y="13061152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5" name="CuadroTexto 9">
              <a:extLst>
                <a:ext uri="{FF2B5EF4-FFF2-40B4-BE49-F238E27FC236}">
                  <a16:creationId xmlns:a16="http://schemas.microsoft.com/office/drawing/2014/main" id="{CFD26B1C-D21E-AA40-BFF1-9AB63FF45028}"/>
                </a:ext>
              </a:extLst>
            </xdr:cNvPr>
            <xdr:cNvSpPr txBox="1"/>
          </xdr:nvSpPr>
          <xdr:spPr>
            <a:xfrm>
              <a:off x="2760515" y="13061152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278102</xdr:colOff>
      <xdr:row>33</xdr:row>
      <xdr:rowOff>74161</xdr:rowOff>
    </xdr:from>
    <xdr:ext cx="23102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8">
              <a:extLst>
                <a:ext uri="{FF2B5EF4-FFF2-40B4-BE49-F238E27FC236}">
                  <a16:creationId xmlns:a16="http://schemas.microsoft.com/office/drawing/2014/main" id="{125339BB-059E-8F42-B221-1D5E73C115BA}"/>
                </a:ext>
              </a:extLst>
            </xdr:cNvPr>
            <xdr:cNvSpPr txBox="1"/>
          </xdr:nvSpPr>
          <xdr:spPr>
            <a:xfrm>
              <a:off x="1929102" y="6754361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6" name="CuadroTexto 8">
              <a:extLst>
                <a:ext uri="{FF2B5EF4-FFF2-40B4-BE49-F238E27FC236}">
                  <a16:creationId xmlns:a16="http://schemas.microsoft.com/office/drawing/2014/main" id="{125339BB-059E-8F42-B221-1D5E73C115BA}"/>
                </a:ext>
              </a:extLst>
            </xdr:cNvPr>
            <xdr:cNvSpPr txBox="1"/>
          </xdr:nvSpPr>
          <xdr:spPr>
            <a:xfrm>
              <a:off x="1929102" y="6754361"/>
              <a:ext cx="23102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1^′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256205</xdr:colOff>
      <xdr:row>33</xdr:row>
      <xdr:rowOff>75912</xdr:rowOff>
    </xdr:from>
    <xdr:ext cx="23519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9">
              <a:extLst>
                <a:ext uri="{FF2B5EF4-FFF2-40B4-BE49-F238E27FC236}">
                  <a16:creationId xmlns:a16="http://schemas.microsoft.com/office/drawing/2014/main" id="{F92CE58C-2B7B-3B4E-A9F8-1216A6B831A3}"/>
                </a:ext>
              </a:extLst>
            </xdr:cNvPr>
            <xdr:cNvSpPr txBox="1"/>
          </xdr:nvSpPr>
          <xdr:spPr>
            <a:xfrm>
              <a:off x="2732705" y="6756112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7" name="CuadroTexto 9">
              <a:extLst>
                <a:ext uri="{FF2B5EF4-FFF2-40B4-BE49-F238E27FC236}">
                  <a16:creationId xmlns:a16="http://schemas.microsoft.com/office/drawing/2014/main" id="{F92CE58C-2B7B-3B4E-A9F8-1216A6B831A3}"/>
                </a:ext>
              </a:extLst>
            </xdr:cNvPr>
            <xdr:cNvSpPr txBox="1"/>
          </xdr:nvSpPr>
          <xdr:spPr>
            <a:xfrm>
              <a:off x="2732705" y="6756112"/>
              <a:ext cx="23519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2^′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</xdr:col>
      <xdr:colOff>79375</xdr:colOff>
      <xdr:row>3</xdr:row>
      <xdr:rowOff>103188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3C5F8331-4CDA-3145-8544-FAAD638BE02A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8" name="CuadroTexto 5">
              <a:extLst>
                <a:ext uri="{FF2B5EF4-FFF2-40B4-BE49-F238E27FC236}">
                  <a16:creationId xmlns:a16="http://schemas.microsoft.com/office/drawing/2014/main" id="{3C5F8331-4CDA-3145-8544-FAAD638BE02A}"/>
                </a:ext>
              </a:extLst>
            </xdr:cNvPr>
            <xdr:cNvSpPr txBox="1"/>
          </xdr:nvSpPr>
          <xdr:spPr>
            <a:xfrm>
              <a:off x="904875" y="509588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60960</xdr:colOff>
      <xdr:row>33</xdr:row>
      <xdr:rowOff>121920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5DB7FE8F-8CA2-8B45-9D5D-4B1EFB93981E}"/>
                </a:ext>
              </a:extLst>
            </xdr:cNvPr>
            <xdr:cNvSpPr txBox="1"/>
          </xdr:nvSpPr>
          <xdr:spPr>
            <a:xfrm>
              <a:off x="886460" y="680212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59" name="CuadroTexto 5">
              <a:extLst>
                <a:ext uri="{FF2B5EF4-FFF2-40B4-BE49-F238E27FC236}">
                  <a16:creationId xmlns:a16="http://schemas.microsoft.com/office/drawing/2014/main" id="{5DB7FE8F-8CA2-8B45-9D5D-4B1EFB93981E}"/>
                </a:ext>
              </a:extLst>
            </xdr:cNvPr>
            <xdr:cNvSpPr txBox="1"/>
          </xdr:nvSpPr>
          <xdr:spPr>
            <a:xfrm>
              <a:off x="886460" y="680212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91440</xdr:colOff>
      <xdr:row>63</xdr:row>
      <xdr:rowOff>91440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FCBAA5B0-07FA-274E-AA96-407A6F503EBA}"/>
                </a:ext>
              </a:extLst>
            </xdr:cNvPr>
            <xdr:cNvSpPr txBox="1"/>
          </xdr:nvSpPr>
          <xdr:spPr>
            <a:xfrm>
              <a:off x="916940" y="1305814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0" name="CuadroTexto 5">
              <a:extLst>
                <a:ext uri="{FF2B5EF4-FFF2-40B4-BE49-F238E27FC236}">
                  <a16:creationId xmlns:a16="http://schemas.microsoft.com/office/drawing/2014/main" id="{FCBAA5B0-07FA-274E-AA96-407A6F503EBA}"/>
                </a:ext>
              </a:extLst>
            </xdr:cNvPr>
            <xdr:cNvSpPr txBox="1"/>
          </xdr:nvSpPr>
          <xdr:spPr>
            <a:xfrm>
              <a:off x="916940" y="1305814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50800</xdr:colOff>
      <xdr:row>92</xdr:row>
      <xdr:rowOff>81280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8438F00E-6794-814C-8F96-6CCBABC52AB3}"/>
                </a:ext>
              </a:extLst>
            </xdr:cNvPr>
            <xdr:cNvSpPr txBox="1"/>
          </xdr:nvSpPr>
          <xdr:spPr>
            <a:xfrm>
              <a:off x="876300" y="1916938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1" name="CuadroTexto 5">
              <a:extLst>
                <a:ext uri="{FF2B5EF4-FFF2-40B4-BE49-F238E27FC236}">
                  <a16:creationId xmlns:a16="http://schemas.microsoft.com/office/drawing/2014/main" id="{8438F00E-6794-814C-8F96-6CCBABC52AB3}"/>
                </a:ext>
              </a:extLst>
            </xdr:cNvPr>
            <xdr:cNvSpPr txBox="1"/>
          </xdr:nvSpPr>
          <xdr:spPr>
            <a:xfrm>
              <a:off x="876300" y="1916938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</xdr:col>
      <xdr:colOff>91440</xdr:colOff>
      <xdr:row>122</xdr:row>
      <xdr:rowOff>111760</xdr:rowOff>
    </xdr:from>
    <xdr:ext cx="7046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E62D44AE-B0C9-4148-B311-1C92C2C517FE}"/>
                </a:ext>
              </a:extLst>
            </xdr:cNvPr>
            <xdr:cNvSpPr txBox="1"/>
          </xdr:nvSpPr>
          <xdr:spPr>
            <a:xfrm>
              <a:off x="916940" y="2548636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𝐹𝑟𝑒𝑐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s-ES" sz="1200" b="0" i="1"/>
            </a:p>
          </xdr:txBody>
        </xdr:sp>
      </mc:Choice>
      <mc:Fallback xmlns="">
        <xdr:sp macro="" textlink="">
          <xdr:nvSpPr>
            <xdr:cNvPr id="62" name="CuadroTexto 5">
              <a:extLst>
                <a:ext uri="{FF2B5EF4-FFF2-40B4-BE49-F238E27FC236}">
                  <a16:creationId xmlns:a16="http://schemas.microsoft.com/office/drawing/2014/main" id="{E62D44AE-B0C9-4148-B311-1C92C2C517FE}"/>
                </a:ext>
              </a:extLst>
            </xdr:cNvPr>
            <xdr:cNvSpPr txBox="1"/>
          </xdr:nvSpPr>
          <xdr:spPr>
            <a:xfrm>
              <a:off x="916940" y="25486360"/>
              <a:ext cx="70468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𝐹𝑟𝑒𝑐 (𝐻𝑧)</a:t>
              </a:r>
              <a:endParaRPr lang="es-ES" sz="1200" b="0" i="1"/>
            </a:p>
          </xdr:txBody>
        </xdr:sp>
      </mc:Fallback>
    </mc:AlternateContent>
    <xdr:clientData/>
  </xdr:oneCellAnchor>
  <xdr:oneCellAnchor>
    <xdr:from>
      <xdr:col>15</xdr:col>
      <xdr:colOff>76638</xdr:colOff>
      <xdr:row>33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9D6FC467-9DB9-D645-A686-AE8581E11081}"/>
                </a:ext>
              </a:extLst>
            </xdr:cNvPr>
            <xdr:cNvSpPr txBox="1"/>
          </xdr:nvSpPr>
          <xdr:spPr>
            <a:xfrm>
              <a:off x="9068238" y="67568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3" name="CuadroTexto 5">
              <a:extLst>
                <a:ext uri="{FF2B5EF4-FFF2-40B4-BE49-F238E27FC236}">
                  <a16:creationId xmlns:a16="http://schemas.microsoft.com/office/drawing/2014/main" id="{9D6FC467-9DB9-D645-A686-AE8581E11081}"/>
                </a:ext>
              </a:extLst>
            </xdr:cNvPr>
            <xdr:cNvSpPr txBox="1"/>
          </xdr:nvSpPr>
          <xdr:spPr>
            <a:xfrm>
              <a:off x="9068238" y="67568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33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2AD2C075-549E-A445-88EC-592A6F77925A}"/>
                </a:ext>
              </a:extLst>
            </xdr:cNvPr>
            <xdr:cNvSpPr txBox="1"/>
          </xdr:nvSpPr>
          <xdr:spPr>
            <a:xfrm>
              <a:off x="9510549" y="67349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4" name="CuadroTexto 5">
              <a:extLst>
                <a:ext uri="{FF2B5EF4-FFF2-40B4-BE49-F238E27FC236}">
                  <a16:creationId xmlns:a16="http://schemas.microsoft.com/office/drawing/2014/main" id="{2AD2C075-549E-A445-88EC-592A6F77925A}"/>
                </a:ext>
              </a:extLst>
            </xdr:cNvPr>
            <xdr:cNvSpPr txBox="1"/>
          </xdr:nvSpPr>
          <xdr:spPr>
            <a:xfrm>
              <a:off x="9510549" y="67349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33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8185BF09-C462-5C41-A521-060A95153382}"/>
                </a:ext>
              </a:extLst>
            </xdr:cNvPr>
            <xdr:cNvSpPr txBox="1"/>
          </xdr:nvSpPr>
          <xdr:spPr>
            <a:xfrm>
              <a:off x="13538638" y="67600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5" name="CuadroTexto 5">
              <a:extLst>
                <a:ext uri="{FF2B5EF4-FFF2-40B4-BE49-F238E27FC236}">
                  <a16:creationId xmlns:a16="http://schemas.microsoft.com/office/drawing/2014/main" id="{8185BF09-C462-5C41-A521-060A95153382}"/>
                </a:ext>
              </a:extLst>
            </xdr:cNvPr>
            <xdr:cNvSpPr txBox="1"/>
          </xdr:nvSpPr>
          <xdr:spPr>
            <a:xfrm>
              <a:off x="13538638" y="67600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33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EA9D760A-FD52-ED43-BF2C-86A0F8CA03E0}"/>
                </a:ext>
              </a:extLst>
            </xdr:cNvPr>
            <xdr:cNvSpPr txBox="1"/>
          </xdr:nvSpPr>
          <xdr:spPr>
            <a:xfrm>
              <a:off x="13958396" y="67412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6" name="CuadroTexto 5">
              <a:extLst>
                <a:ext uri="{FF2B5EF4-FFF2-40B4-BE49-F238E27FC236}">
                  <a16:creationId xmlns:a16="http://schemas.microsoft.com/office/drawing/2014/main" id="{EA9D760A-FD52-ED43-BF2C-86A0F8CA03E0}"/>
                </a:ext>
              </a:extLst>
            </xdr:cNvPr>
            <xdr:cNvSpPr txBox="1"/>
          </xdr:nvSpPr>
          <xdr:spPr>
            <a:xfrm>
              <a:off x="13958396" y="67412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33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266814F5-4747-274F-9BCA-EBA441EBAB83}"/>
                </a:ext>
              </a:extLst>
            </xdr:cNvPr>
            <xdr:cNvSpPr txBox="1"/>
          </xdr:nvSpPr>
          <xdr:spPr>
            <a:xfrm>
              <a:off x="11254823" y="67677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7" name="CuadroTexto 5">
              <a:extLst>
                <a:ext uri="{FF2B5EF4-FFF2-40B4-BE49-F238E27FC236}">
                  <a16:creationId xmlns:a16="http://schemas.microsoft.com/office/drawing/2014/main" id="{266814F5-4747-274F-9BCA-EBA441EBAB83}"/>
                </a:ext>
              </a:extLst>
            </xdr:cNvPr>
            <xdr:cNvSpPr txBox="1"/>
          </xdr:nvSpPr>
          <xdr:spPr>
            <a:xfrm>
              <a:off x="11254823" y="67677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E7422787-F6D6-8149-B40C-6AACE3A6A581}"/>
                </a:ext>
              </a:extLst>
            </xdr:cNvPr>
            <xdr:cNvSpPr txBox="1"/>
          </xdr:nvSpPr>
          <xdr:spPr>
            <a:xfrm>
              <a:off x="16129000" y="67374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8" name="CuadroTexto 5">
              <a:extLst>
                <a:ext uri="{FF2B5EF4-FFF2-40B4-BE49-F238E27FC236}">
                  <a16:creationId xmlns:a16="http://schemas.microsoft.com/office/drawing/2014/main" id="{E7422787-F6D6-8149-B40C-6AACE3A6A581}"/>
                </a:ext>
              </a:extLst>
            </xdr:cNvPr>
            <xdr:cNvSpPr txBox="1"/>
          </xdr:nvSpPr>
          <xdr:spPr>
            <a:xfrm>
              <a:off x="16129000" y="67374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33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A6F82293-3E3C-7546-AA6C-6C5D4F3ECEF3}"/>
                </a:ext>
              </a:extLst>
            </xdr:cNvPr>
            <xdr:cNvSpPr txBox="1"/>
          </xdr:nvSpPr>
          <xdr:spPr>
            <a:xfrm>
              <a:off x="15686431" y="67597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9" name="CuadroTexto 5">
              <a:extLst>
                <a:ext uri="{FF2B5EF4-FFF2-40B4-BE49-F238E27FC236}">
                  <a16:creationId xmlns:a16="http://schemas.microsoft.com/office/drawing/2014/main" id="{A6F82293-3E3C-7546-AA6C-6C5D4F3ECEF3}"/>
                </a:ext>
              </a:extLst>
            </xdr:cNvPr>
            <xdr:cNvSpPr txBox="1"/>
          </xdr:nvSpPr>
          <xdr:spPr>
            <a:xfrm>
              <a:off x="15686431" y="67597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B3DD1206-E314-6E4E-A114-29611DFA1214}"/>
                </a:ext>
              </a:extLst>
            </xdr:cNvPr>
            <xdr:cNvSpPr txBox="1"/>
          </xdr:nvSpPr>
          <xdr:spPr>
            <a:xfrm>
              <a:off x="11684000" y="67658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0" name="CuadroTexto 5">
              <a:extLst>
                <a:ext uri="{FF2B5EF4-FFF2-40B4-BE49-F238E27FC236}">
                  <a16:creationId xmlns:a16="http://schemas.microsoft.com/office/drawing/2014/main" id="{B3DD1206-E314-6E4E-A114-29611DFA1214}"/>
                </a:ext>
              </a:extLst>
            </xdr:cNvPr>
            <xdr:cNvSpPr txBox="1"/>
          </xdr:nvSpPr>
          <xdr:spPr>
            <a:xfrm>
              <a:off x="11684000" y="67658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63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492E699B-0838-134A-B674-78C4B542F9E8}"/>
                </a:ext>
              </a:extLst>
            </xdr:cNvPr>
            <xdr:cNvSpPr txBox="1"/>
          </xdr:nvSpPr>
          <xdr:spPr>
            <a:xfrm>
              <a:off x="9068238" y="130433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1" name="CuadroTexto 5">
              <a:extLst>
                <a:ext uri="{FF2B5EF4-FFF2-40B4-BE49-F238E27FC236}">
                  <a16:creationId xmlns:a16="http://schemas.microsoft.com/office/drawing/2014/main" id="{492E699B-0838-134A-B674-78C4B542F9E8}"/>
                </a:ext>
              </a:extLst>
            </xdr:cNvPr>
            <xdr:cNvSpPr txBox="1"/>
          </xdr:nvSpPr>
          <xdr:spPr>
            <a:xfrm>
              <a:off x="9068238" y="130433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63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A8356785-C65C-B143-A80A-BBC8EE6B4DC7}"/>
                </a:ext>
              </a:extLst>
            </xdr:cNvPr>
            <xdr:cNvSpPr txBox="1"/>
          </xdr:nvSpPr>
          <xdr:spPr>
            <a:xfrm>
              <a:off x="9510549" y="130214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A8356785-C65C-B143-A80A-BBC8EE6B4DC7}"/>
                </a:ext>
              </a:extLst>
            </xdr:cNvPr>
            <xdr:cNvSpPr txBox="1"/>
          </xdr:nvSpPr>
          <xdr:spPr>
            <a:xfrm>
              <a:off x="9510549" y="130214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63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DA6BB240-FB2A-774B-9484-3C28F30A448D}"/>
                </a:ext>
              </a:extLst>
            </xdr:cNvPr>
            <xdr:cNvSpPr txBox="1"/>
          </xdr:nvSpPr>
          <xdr:spPr>
            <a:xfrm>
              <a:off x="13538638" y="130465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DA6BB240-FB2A-774B-9484-3C28F30A448D}"/>
                </a:ext>
              </a:extLst>
            </xdr:cNvPr>
            <xdr:cNvSpPr txBox="1"/>
          </xdr:nvSpPr>
          <xdr:spPr>
            <a:xfrm>
              <a:off x="13538638" y="130465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63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A9B32B35-6213-1041-8E80-EFD0B64EEA21}"/>
                </a:ext>
              </a:extLst>
            </xdr:cNvPr>
            <xdr:cNvSpPr txBox="1"/>
          </xdr:nvSpPr>
          <xdr:spPr>
            <a:xfrm>
              <a:off x="13958396" y="130277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4" name="CuadroTexto 5">
              <a:extLst>
                <a:ext uri="{FF2B5EF4-FFF2-40B4-BE49-F238E27FC236}">
                  <a16:creationId xmlns:a16="http://schemas.microsoft.com/office/drawing/2014/main" id="{A9B32B35-6213-1041-8E80-EFD0B64EEA21}"/>
                </a:ext>
              </a:extLst>
            </xdr:cNvPr>
            <xdr:cNvSpPr txBox="1"/>
          </xdr:nvSpPr>
          <xdr:spPr>
            <a:xfrm>
              <a:off x="13958396" y="130277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63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69EAD69C-62B6-BF4D-BC45-8E877FF96E90}"/>
                </a:ext>
              </a:extLst>
            </xdr:cNvPr>
            <xdr:cNvSpPr txBox="1"/>
          </xdr:nvSpPr>
          <xdr:spPr>
            <a:xfrm>
              <a:off x="11254823" y="130542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5" name="CuadroTexto 5">
              <a:extLst>
                <a:ext uri="{FF2B5EF4-FFF2-40B4-BE49-F238E27FC236}">
                  <a16:creationId xmlns:a16="http://schemas.microsoft.com/office/drawing/2014/main" id="{69EAD69C-62B6-BF4D-BC45-8E877FF96E90}"/>
                </a:ext>
              </a:extLst>
            </xdr:cNvPr>
            <xdr:cNvSpPr txBox="1"/>
          </xdr:nvSpPr>
          <xdr:spPr>
            <a:xfrm>
              <a:off x="11254823" y="130542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63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5">
              <a:extLst>
                <a:ext uri="{FF2B5EF4-FFF2-40B4-BE49-F238E27FC236}">
                  <a16:creationId xmlns:a16="http://schemas.microsoft.com/office/drawing/2014/main" id="{298832C7-ABAC-4D44-8005-C1764009F1BC}"/>
                </a:ext>
              </a:extLst>
            </xdr:cNvPr>
            <xdr:cNvSpPr txBox="1"/>
          </xdr:nvSpPr>
          <xdr:spPr>
            <a:xfrm>
              <a:off x="16129000" y="130239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6" name="CuadroTexto 5">
              <a:extLst>
                <a:ext uri="{FF2B5EF4-FFF2-40B4-BE49-F238E27FC236}">
                  <a16:creationId xmlns:a16="http://schemas.microsoft.com/office/drawing/2014/main" id="{298832C7-ABAC-4D44-8005-C1764009F1BC}"/>
                </a:ext>
              </a:extLst>
            </xdr:cNvPr>
            <xdr:cNvSpPr txBox="1"/>
          </xdr:nvSpPr>
          <xdr:spPr>
            <a:xfrm>
              <a:off x="16129000" y="130239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63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93D03F41-C67A-4944-BAFE-7B936A4DB1C6}"/>
                </a:ext>
              </a:extLst>
            </xdr:cNvPr>
            <xdr:cNvSpPr txBox="1"/>
          </xdr:nvSpPr>
          <xdr:spPr>
            <a:xfrm>
              <a:off x="15686431" y="130462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7" name="CuadroTexto 5">
              <a:extLst>
                <a:ext uri="{FF2B5EF4-FFF2-40B4-BE49-F238E27FC236}">
                  <a16:creationId xmlns:a16="http://schemas.microsoft.com/office/drawing/2014/main" id="{93D03F41-C67A-4944-BAFE-7B936A4DB1C6}"/>
                </a:ext>
              </a:extLst>
            </xdr:cNvPr>
            <xdr:cNvSpPr txBox="1"/>
          </xdr:nvSpPr>
          <xdr:spPr>
            <a:xfrm>
              <a:off x="15686431" y="130462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63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9F7D5061-CC2B-7A46-ABA8-C7435E7C4FDE}"/>
                </a:ext>
              </a:extLst>
            </xdr:cNvPr>
            <xdr:cNvSpPr txBox="1"/>
          </xdr:nvSpPr>
          <xdr:spPr>
            <a:xfrm>
              <a:off x="11684000" y="130523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8" name="CuadroTexto 5">
              <a:extLst>
                <a:ext uri="{FF2B5EF4-FFF2-40B4-BE49-F238E27FC236}">
                  <a16:creationId xmlns:a16="http://schemas.microsoft.com/office/drawing/2014/main" id="{9F7D5061-CC2B-7A46-ABA8-C7435E7C4FDE}"/>
                </a:ext>
              </a:extLst>
            </xdr:cNvPr>
            <xdr:cNvSpPr txBox="1"/>
          </xdr:nvSpPr>
          <xdr:spPr>
            <a:xfrm>
              <a:off x="11684000" y="130523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92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9D995824-15E5-9340-B51C-36C0CC07E268}"/>
                </a:ext>
              </a:extLst>
            </xdr:cNvPr>
            <xdr:cNvSpPr txBox="1"/>
          </xdr:nvSpPr>
          <xdr:spPr>
            <a:xfrm>
              <a:off x="9068238" y="191647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9" name="CuadroTexto 5">
              <a:extLst>
                <a:ext uri="{FF2B5EF4-FFF2-40B4-BE49-F238E27FC236}">
                  <a16:creationId xmlns:a16="http://schemas.microsoft.com/office/drawing/2014/main" id="{9D995824-15E5-9340-B51C-36C0CC07E268}"/>
                </a:ext>
              </a:extLst>
            </xdr:cNvPr>
            <xdr:cNvSpPr txBox="1"/>
          </xdr:nvSpPr>
          <xdr:spPr>
            <a:xfrm>
              <a:off x="9068238" y="191647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92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C59820A3-FC35-CB4B-BD07-369D360991FC}"/>
                </a:ext>
              </a:extLst>
            </xdr:cNvPr>
            <xdr:cNvSpPr txBox="1"/>
          </xdr:nvSpPr>
          <xdr:spPr>
            <a:xfrm>
              <a:off x="9510549" y="191428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0" name="CuadroTexto 5">
              <a:extLst>
                <a:ext uri="{FF2B5EF4-FFF2-40B4-BE49-F238E27FC236}">
                  <a16:creationId xmlns:a16="http://schemas.microsoft.com/office/drawing/2014/main" id="{C59820A3-FC35-CB4B-BD07-369D360991FC}"/>
                </a:ext>
              </a:extLst>
            </xdr:cNvPr>
            <xdr:cNvSpPr txBox="1"/>
          </xdr:nvSpPr>
          <xdr:spPr>
            <a:xfrm>
              <a:off x="9510549" y="191428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92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8B4290B5-87E3-7A4F-8FCE-453C9ED1CA58}"/>
                </a:ext>
              </a:extLst>
            </xdr:cNvPr>
            <xdr:cNvSpPr txBox="1"/>
          </xdr:nvSpPr>
          <xdr:spPr>
            <a:xfrm>
              <a:off x="13538638" y="191679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1" name="CuadroTexto 5">
              <a:extLst>
                <a:ext uri="{FF2B5EF4-FFF2-40B4-BE49-F238E27FC236}">
                  <a16:creationId xmlns:a16="http://schemas.microsoft.com/office/drawing/2014/main" id="{8B4290B5-87E3-7A4F-8FCE-453C9ED1CA58}"/>
                </a:ext>
              </a:extLst>
            </xdr:cNvPr>
            <xdr:cNvSpPr txBox="1"/>
          </xdr:nvSpPr>
          <xdr:spPr>
            <a:xfrm>
              <a:off x="13538638" y="191679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92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78CE586F-BC28-F34F-95EC-ED81E9509429}"/>
                </a:ext>
              </a:extLst>
            </xdr:cNvPr>
            <xdr:cNvSpPr txBox="1"/>
          </xdr:nvSpPr>
          <xdr:spPr>
            <a:xfrm>
              <a:off x="13958396" y="191491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2" name="CuadroTexto 5">
              <a:extLst>
                <a:ext uri="{FF2B5EF4-FFF2-40B4-BE49-F238E27FC236}">
                  <a16:creationId xmlns:a16="http://schemas.microsoft.com/office/drawing/2014/main" id="{78CE586F-BC28-F34F-95EC-ED81E9509429}"/>
                </a:ext>
              </a:extLst>
            </xdr:cNvPr>
            <xdr:cNvSpPr txBox="1"/>
          </xdr:nvSpPr>
          <xdr:spPr>
            <a:xfrm>
              <a:off x="13958396" y="191491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92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4A3216BC-4F46-3547-A5F8-9289AEE452CD}"/>
                </a:ext>
              </a:extLst>
            </xdr:cNvPr>
            <xdr:cNvSpPr txBox="1"/>
          </xdr:nvSpPr>
          <xdr:spPr>
            <a:xfrm>
              <a:off x="11254823" y="191756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3" name="CuadroTexto 5">
              <a:extLst>
                <a:ext uri="{FF2B5EF4-FFF2-40B4-BE49-F238E27FC236}">
                  <a16:creationId xmlns:a16="http://schemas.microsoft.com/office/drawing/2014/main" id="{4A3216BC-4F46-3547-A5F8-9289AEE452CD}"/>
                </a:ext>
              </a:extLst>
            </xdr:cNvPr>
            <xdr:cNvSpPr txBox="1"/>
          </xdr:nvSpPr>
          <xdr:spPr>
            <a:xfrm>
              <a:off x="11254823" y="191756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92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26FEA439-65AE-A24F-824E-79F6EB113BAF}"/>
                </a:ext>
              </a:extLst>
            </xdr:cNvPr>
            <xdr:cNvSpPr txBox="1"/>
          </xdr:nvSpPr>
          <xdr:spPr>
            <a:xfrm>
              <a:off x="16129000" y="191453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4" name="CuadroTexto 5">
              <a:extLst>
                <a:ext uri="{FF2B5EF4-FFF2-40B4-BE49-F238E27FC236}">
                  <a16:creationId xmlns:a16="http://schemas.microsoft.com/office/drawing/2014/main" id="{26FEA439-65AE-A24F-824E-79F6EB113BAF}"/>
                </a:ext>
              </a:extLst>
            </xdr:cNvPr>
            <xdr:cNvSpPr txBox="1"/>
          </xdr:nvSpPr>
          <xdr:spPr>
            <a:xfrm>
              <a:off x="16129000" y="191453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92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5C4E6605-84DA-2D4F-B273-95694931B8C3}"/>
                </a:ext>
              </a:extLst>
            </xdr:cNvPr>
            <xdr:cNvSpPr txBox="1"/>
          </xdr:nvSpPr>
          <xdr:spPr>
            <a:xfrm>
              <a:off x="15686431" y="191676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5" name="CuadroTexto 5">
              <a:extLst>
                <a:ext uri="{FF2B5EF4-FFF2-40B4-BE49-F238E27FC236}">
                  <a16:creationId xmlns:a16="http://schemas.microsoft.com/office/drawing/2014/main" id="{5C4E6605-84DA-2D4F-B273-95694931B8C3}"/>
                </a:ext>
              </a:extLst>
            </xdr:cNvPr>
            <xdr:cNvSpPr txBox="1"/>
          </xdr:nvSpPr>
          <xdr:spPr>
            <a:xfrm>
              <a:off x="15686431" y="191676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92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A20C178F-FD02-584F-BFA5-BC54D7ACB46A}"/>
                </a:ext>
              </a:extLst>
            </xdr:cNvPr>
            <xdr:cNvSpPr txBox="1"/>
          </xdr:nvSpPr>
          <xdr:spPr>
            <a:xfrm>
              <a:off x="11684000" y="191737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6" name="CuadroTexto 5">
              <a:extLst>
                <a:ext uri="{FF2B5EF4-FFF2-40B4-BE49-F238E27FC236}">
                  <a16:creationId xmlns:a16="http://schemas.microsoft.com/office/drawing/2014/main" id="{A20C178F-FD02-584F-BFA5-BC54D7ACB46A}"/>
                </a:ext>
              </a:extLst>
            </xdr:cNvPr>
            <xdr:cNvSpPr txBox="1"/>
          </xdr:nvSpPr>
          <xdr:spPr>
            <a:xfrm>
              <a:off x="11684000" y="191737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15</xdr:col>
      <xdr:colOff>76638</xdr:colOff>
      <xdr:row>122</xdr:row>
      <xdr:rowOff>76638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B68508BB-3FEB-0B42-B50C-EC87D6DD362D}"/>
                </a:ext>
              </a:extLst>
            </xdr:cNvPr>
            <xdr:cNvSpPr txBox="1"/>
          </xdr:nvSpPr>
          <xdr:spPr>
            <a:xfrm>
              <a:off x="9068238" y="254512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7" name="CuadroTexto 5">
              <a:extLst>
                <a:ext uri="{FF2B5EF4-FFF2-40B4-BE49-F238E27FC236}">
                  <a16:creationId xmlns:a16="http://schemas.microsoft.com/office/drawing/2014/main" id="{B68508BB-3FEB-0B42-B50C-EC87D6DD362D}"/>
                </a:ext>
              </a:extLst>
            </xdr:cNvPr>
            <xdr:cNvSpPr txBox="1"/>
          </xdr:nvSpPr>
          <xdr:spPr>
            <a:xfrm>
              <a:off x="9068238" y="25451238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16</xdr:col>
      <xdr:colOff>10949</xdr:colOff>
      <xdr:row>122</xdr:row>
      <xdr:rowOff>54741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B94EE625-7586-1840-A37C-05704A3CC3F5}"/>
                </a:ext>
              </a:extLst>
            </xdr:cNvPr>
            <xdr:cNvSpPr txBox="1"/>
          </xdr:nvSpPr>
          <xdr:spPr>
            <a:xfrm>
              <a:off x="9510549" y="254293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8" name="CuadroTexto 5">
              <a:extLst>
                <a:ext uri="{FF2B5EF4-FFF2-40B4-BE49-F238E27FC236}">
                  <a16:creationId xmlns:a16="http://schemas.microsoft.com/office/drawing/2014/main" id="{B94EE625-7586-1840-A37C-05704A3CC3F5}"/>
                </a:ext>
              </a:extLst>
            </xdr:cNvPr>
            <xdr:cNvSpPr txBox="1"/>
          </xdr:nvSpPr>
          <xdr:spPr>
            <a:xfrm>
              <a:off x="9510549" y="2542934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51238</xdr:colOff>
      <xdr:row>122</xdr:row>
      <xdr:rowOff>79813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E7CF4085-C266-DD47-8CBB-F45B59FB035D}"/>
                </a:ext>
              </a:extLst>
            </xdr:cNvPr>
            <xdr:cNvSpPr txBox="1"/>
          </xdr:nvSpPr>
          <xdr:spPr>
            <a:xfrm>
              <a:off x="13538638" y="254544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9" name="CuadroTexto 5">
              <a:extLst>
                <a:ext uri="{FF2B5EF4-FFF2-40B4-BE49-F238E27FC236}">
                  <a16:creationId xmlns:a16="http://schemas.microsoft.com/office/drawing/2014/main" id="{E7CF4085-C266-DD47-8CBB-F45B59FB035D}"/>
                </a:ext>
              </a:extLst>
            </xdr:cNvPr>
            <xdr:cNvSpPr txBox="1"/>
          </xdr:nvSpPr>
          <xdr:spPr>
            <a:xfrm>
              <a:off x="13538638" y="25454413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21</xdr:col>
      <xdr:colOff>610696</xdr:colOff>
      <xdr:row>122</xdr:row>
      <xdr:rowOff>61091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25FA94FE-D3DE-2D47-A197-6B40EDE1EBB4}"/>
                </a:ext>
              </a:extLst>
            </xdr:cNvPr>
            <xdr:cNvSpPr txBox="1"/>
          </xdr:nvSpPr>
          <xdr:spPr>
            <a:xfrm>
              <a:off x="13958396" y="254356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0" name="CuadroTexto 5">
              <a:extLst>
                <a:ext uri="{FF2B5EF4-FFF2-40B4-BE49-F238E27FC236}">
                  <a16:creationId xmlns:a16="http://schemas.microsoft.com/office/drawing/2014/main" id="{25FA94FE-D3DE-2D47-A197-6B40EDE1EBB4}"/>
                </a:ext>
              </a:extLst>
            </xdr:cNvPr>
            <xdr:cNvSpPr txBox="1"/>
          </xdr:nvSpPr>
          <xdr:spPr>
            <a:xfrm>
              <a:off x="13958396" y="25435691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18</xdr:col>
      <xdr:colOff>91523</xdr:colOff>
      <xdr:row>122</xdr:row>
      <xdr:rowOff>87587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BA6D8490-30B0-B047-B29D-0B0AB1523065}"/>
                </a:ext>
              </a:extLst>
            </xdr:cNvPr>
            <xdr:cNvSpPr txBox="1"/>
          </xdr:nvSpPr>
          <xdr:spPr>
            <a:xfrm>
              <a:off x="11254823" y="254621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BA6D8490-30B0-B047-B29D-0B0AB1523065}"/>
                </a:ext>
              </a:extLst>
            </xdr:cNvPr>
            <xdr:cNvSpPr txBox="1"/>
          </xdr:nvSpPr>
          <xdr:spPr>
            <a:xfrm>
              <a:off x="11254823" y="25462187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𝑖1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122</xdr:row>
      <xdr:rowOff>57257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BB0CB9F5-E91E-774A-88C6-C9D377DA2DE6}"/>
                </a:ext>
              </a:extLst>
            </xdr:cNvPr>
            <xdr:cNvSpPr txBox="1"/>
          </xdr:nvSpPr>
          <xdr:spPr>
            <a:xfrm>
              <a:off x="16129000" y="254318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BB0CB9F5-E91E-774A-88C6-C9D377DA2DE6}"/>
                </a:ext>
              </a:extLst>
            </xdr:cNvPr>
            <xdr:cNvSpPr txBox="1"/>
          </xdr:nvSpPr>
          <xdr:spPr>
            <a:xfrm>
              <a:off x="16129000" y="25431857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𝑖2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i="0">
                  <a:latin typeface="Cambria Math" panose="02040503050406030204" pitchFamily="18" charset="0"/>
                </a:rPr>
                <a:t>" 𝑅</a:t>
              </a:r>
              <a:r>
                <a:rPr lang="es-ES" sz="1400" b="0" i="0">
                  <a:latin typeface="Cambria Math" panose="02040503050406030204" pitchFamily="18" charset="0"/>
                </a:rPr>
                <a:t>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24</xdr:col>
      <xdr:colOff>78131</xdr:colOff>
      <xdr:row>122</xdr:row>
      <xdr:rowOff>79521</xdr:rowOff>
    </xdr:from>
    <xdr:ext cx="3942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A19AB7A6-97A1-8C4A-B120-31ABEFD6F89B}"/>
                </a:ext>
              </a:extLst>
            </xdr:cNvPr>
            <xdr:cNvSpPr txBox="1"/>
          </xdr:nvSpPr>
          <xdr:spPr>
            <a:xfrm>
              <a:off x="15686431" y="254541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ES_tradnl" sz="1100"/>
                <a:t>-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</a:rPr>
                    <m:t>𝑅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3" name="CuadroTexto 5">
              <a:extLst>
                <a:ext uri="{FF2B5EF4-FFF2-40B4-BE49-F238E27FC236}">
                  <a16:creationId xmlns:a16="http://schemas.microsoft.com/office/drawing/2014/main" id="{A19AB7A6-97A1-8C4A-B120-31ABEFD6F89B}"/>
                </a:ext>
              </a:extLst>
            </xdr:cNvPr>
            <xdr:cNvSpPr txBox="1"/>
          </xdr:nvSpPr>
          <xdr:spPr>
            <a:xfrm>
              <a:off x="15686431" y="25454121"/>
              <a:ext cx="39421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𝐿</a:t>
              </a:r>
              <a:r>
                <a:rPr lang="es-ES_tradnl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𝑖2</a:t>
              </a:r>
              <a:r>
                <a:rPr lang="es-ES_tradnl" sz="1100"/>
                <a:t>-</a:t>
              </a:r>
              <a:r>
                <a:rPr lang="es-ES" sz="1100" i="0">
                  <a:latin typeface="Cambria Math" panose="02040503050406030204" pitchFamily="18" charset="0"/>
                </a:rPr>
                <a:t>𝑅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122</xdr:row>
      <xdr:rowOff>85618</xdr:rowOff>
    </xdr:from>
    <xdr:ext cx="1025794" cy="253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1372348-2DB9-EC46-BAE6-CED5AD044B63}"/>
                </a:ext>
              </a:extLst>
            </xdr:cNvPr>
            <xdr:cNvSpPr txBox="1"/>
          </xdr:nvSpPr>
          <xdr:spPr>
            <a:xfrm>
              <a:off x="11684000" y="254602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_tradnl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ES_tradnl" sz="1400"/>
                          <m:t>−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′)/10</m:t>
                        </m:r>
                      </m:sup>
                    </m:s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94" name="CuadroTexto 5">
              <a:extLst>
                <a:ext uri="{FF2B5EF4-FFF2-40B4-BE49-F238E27FC236}">
                  <a16:creationId xmlns:a16="http://schemas.microsoft.com/office/drawing/2014/main" id="{01372348-2DB9-EC46-BAE6-CED5AD044B63}"/>
                </a:ext>
              </a:extLst>
            </xdr:cNvPr>
            <xdr:cNvSpPr txBox="1"/>
          </xdr:nvSpPr>
          <xdr:spPr>
            <a:xfrm>
              <a:off x="11684000" y="25460218"/>
              <a:ext cx="1025794" cy="253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10</a:t>
              </a:r>
              <a:r>
                <a:rPr lang="es-ES_tradnl" sz="1400" b="0" i="0">
                  <a:latin typeface="Cambria Math" panose="02040503050406030204" pitchFamily="18" charset="0"/>
                </a:rPr>
                <a:t>^(</a:t>
              </a:r>
              <a:r>
                <a:rPr lang="es-ES" sz="1400" b="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𝐿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𝑖1</a:t>
              </a:r>
              <a:r>
                <a:rPr lang="es-ES_tradnl" sz="1400" b="0" i="0">
                  <a:latin typeface="Cambria Math" panose="02040503050406030204" pitchFamily="18" charset="0"/>
                </a:rPr>
                <a:t> "</a:t>
              </a:r>
              <a:r>
                <a:rPr lang="es-ES_tradnl" sz="1400" i="0"/>
                <a:t>−</a:t>
              </a:r>
              <a:r>
                <a:rPr lang="es-ES" sz="1400" b="0" i="0">
                  <a:latin typeface="Cambria Math" panose="02040503050406030204" pitchFamily="18" charset="0"/>
                </a:rPr>
                <a:t>" 𝑅′)/10</a:t>
              </a:r>
              <a:r>
                <a:rPr lang="es-ES_tradnl" sz="1400" b="0" i="0">
                  <a:latin typeface="Cambria Math" panose="02040503050406030204" pitchFamily="18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0.39626</cdr:x>
      <cdr:y>0.35563</cdr:y>
    </cdr:from>
    <cdr:to>
      <cdr:x>0.45478</cdr:x>
      <cdr:y>0.52698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614CE235-2A30-D11D-CF7E-BF08D1DEC2CA}"/>
            </a:ext>
          </a:extLst>
        </cdr:cNvPr>
        <cdr:cNvCxnSpPr/>
      </cdr:nvCxnSpPr>
      <cdr:spPr>
        <a:xfrm xmlns:a="http://schemas.openxmlformats.org/drawingml/2006/main" flipV="1">
          <a:off x="4857515" y="1732844"/>
          <a:ext cx="717315" cy="8349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0.379</cdr:x>
      <cdr:y>0.52939</cdr:y>
    </cdr:from>
    <cdr:to>
      <cdr:x>0.45359</cdr:x>
      <cdr:y>0.71706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75D2630C-9C54-8EB1-C4C2-F16CC553410F}"/>
            </a:ext>
          </a:extLst>
        </cdr:cNvPr>
        <cdr:cNvSpPr txBox="1"/>
      </cdr:nvSpPr>
      <cdr:spPr>
        <a:xfrm xmlns:a="http://schemas.openxmlformats.org/drawingml/2006/main">
          <a:off x="4645848" y="25795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_tradnl" sz="1100"/>
        </a:p>
      </cdr:txBody>
    </cdr:sp>
  </cdr:relSizeAnchor>
  <cdr:relSizeAnchor xmlns:cdr="http://schemas.openxmlformats.org/drawingml/2006/chartDrawing">
    <cdr:from>
      <cdr:x>0.38379</cdr:x>
      <cdr:y>0.50767</cdr:y>
    </cdr:from>
    <cdr:to>
      <cdr:x>0.40658</cdr:x>
      <cdr:y>0.55295</cdr:y>
    </cdr:to>
    <cdr:sp macro="" textlink="">
      <cdr:nvSpPr>
        <cdr:cNvPr id="9" name="Estrella de 5 puntas 8">
          <a:extLst xmlns:a="http://schemas.openxmlformats.org/drawingml/2006/main">
            <a:ext uri="{FF2B5EF4-FFF2-40B4-BE49-F238E27FC236}">
              <a16:creationId xmlns:a16="http://schemas.microsoft.com/office/drawing/2014/main" id="{864DE175-0D8C-2FCB-45C1-529B139DDB81}"/>
            </a:ext>
          </a:extLst>
        </cdr:cNvPr>
        <cdr:cNvSpPr/>
      </cdr:nvSpPr>
      <cdr:spPr>
        <a:xfrm xmlns:a="http://schemas.openxmlformats.org/drawingml/2006/main">
          <a:off x="4704643" y="2473678"/>
          <a:ext cx="279399" cy="220604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0.41485</cdr:x>
      <cdr:y>0.48746</cdr:y>
    </cdr:from>
    <cdr:to>
      <cdr:x>0.45451</cdr:x>
      <cdr:y>0.6088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>
          <a:off x="5072060" y="2445531"/>
          <a:ext cx="484895" cy="608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0.40238</cdr:x>
      <cdr:y>0.46821</cdr:y>
    </cdr:from>
    <cdr:to>
      <cdr:x>0.42517</cdr:x>
      <cdr:y>0.51335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959564" y="2290853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0.39517</cdr:x>
      <cdr:y>0.47102</cdr:y>
    </cdr:from>
    <cdr:to>
      <cdr:x>0.45368</cdr:x>
      <cdr:y>0.64076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70693" y="2319677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0.62164</cdr:y>
    </cdr:from>
    <cdr:to>
      <cdr:x>0.40549</cdr:x>
      <cdr:y>0.66649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16980" y="3061415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0.39639</cdr:x>
      <cdr:y>0.42422</cdr:y>
    </cdr:from>
    <cdr:to>
      <cdr:x>0.45491</cdr:x>
      <cdr:y>0.59495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84963" y="2077093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0.38391</cdr:x>
      <cdr:y>0.57572</cdr:y>
    </cdr:from>
    <cdr:to>
      <cdr:x>0.40671</cdr:x>
      <cdr:y>0.62083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31250" y="2818831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0.0534</cdr:x>
      <cdr:y>0.88429</cdr:y>
    </cdr:from>
    <cdr:to>
      <cdr:x>0.981</cdr:x>
      <cdr:y>0.94118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CF51FCC-B248-D877-38CD-DA324D668C33}"/>
            </a:ext>
          </a:extLst>
        </cdr:cNvPr>
        <cdr:cNvSpPr txBox="1"/>
      </cdr:nvSpPr>
      <cdr:spPr>
        <a:xfrm xmlns:a="http://schemas.openxmlformats.org/drawingml/2006/main">
          <a:off x="600582" y="3925422"/>
          <a:ext cx="10432990" cy="252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50             63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80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100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 125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16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0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 200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  250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 315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     400</a:t>
          </a:r>
          <a:r>
            <a:rPr lang="es-ES_tradnl" sz="900" b="0" baseline="0">
              <a:solidFill>
                <a:schemeClr val="bg2">
                  <a:lumMod val="90000"/>
                </a:schemeClr>
              </a:solidFill>
            </a:rPr>
            <a:t>           500            630            800           1000         1250          1600          2000         2500          3150         4000         5000</a:t>
          </a:r>
          <a:r>
            <a:rPr lang="es-ES_tradnl" sz="900" b="0">
              <a:solidFill>
                <a:schemeClr val="bg2">
                  <a:lumMod val="90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0.39523</cdr:x>
      <cdr:y>0.1968</cdr:y>
    </cdr:from>
    <cdr:to>
      <cdr:x>0.45375</cdr:x>
      <cdr:y>0.36745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825DF248-0930-2726-4A7B-4212233FD2AC}"/>
            </a:ext>
          </a:extLst>
        </cdr:cNvPr>
        <cdr:cNvCxnSpPr/>
      </cdr:nvCxnSpPr>
      <cdr:spPr>
        <a:xfrm xmlns:a="http://schemas.openxmlformats.org/drawingml/2006/main" flipV="1">
          <a:off x="4870692" y="964058"/>
          <a:ext cx="721258" cy="835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0.38275</cdr:x>
      <cdr:y>0.34822</cdr:y>
    </cdr:from>
    <cdr:to>
      <cdr:x>0.40555</cdr:x>
      <cdr:y>0.39331</cdr:y>
    </cdr:to>
    <cdr:sp macro="" textlink="">
      <cdr:nvSpPr>
        <cdr:cNvPr id="7" name="Estrella de 5 puntas 6">
          <a:extLst xmlns:a="http://schemas.openxmlformats.org/drawingml/2006/main">
            <a:ext uri="{FF2B5EF4-FFF2-40B4-BE49-F238E27FC236}">
              <a16:creationId xmlns:a16="http://schemas.microsoft.com/office/drawing/2014/main" id="{4233A10E-0E21-F7CB-F0FB-1C4BC0006209}"/>
            </a:ext>
          </a:extLst>
        </cdr:cNvPr>
        <cdr:cNvSpPr/>
      </cdr:nvSpPr>
      <cdr:spPr>
        <a:xfrm xmlns:a="http://schemas.openxmlformats.org/drawingml/2006/main">
          <a:off x="4716979" y="1705796"/>
          <a:ext cx="280935" cy="22087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C5607-CFFC-E644-B3A4-CED37441142C}" name="Table9" displayName="Table9" ref="C5:M26" totalsRowShown="0" headerRowDxfId="34" dataDxfId="33">
  <autoFilter ref="C5:M26" xr:uid="{911C5607-CFFC-E644-B3A4-CED37441142C}"/>
  <tableColumns count="11">
    <tableColumn id="1" xr3:uid="{7C843754-3480-3F49-B01F-24F6C64670FE}" name="FR [Hz]" dataDxfId="32"/>
    <tableColumn id="2" xr3:uid="{F52AFC35-F721-4740-9EE1-28948DA899FE}" name="Micro 1 - F1" dataDxfId="31"/>
    <tableColumn id="3" xr3:uid="{A0C36EAE-E43C-B546-89CF-F4642F776CEB}" name="Micro 2 - F1" dataDxfId="30"/>
    <tableColumn id="16" xr3:uid="{BF9C218E-AB7D-4A45-A548-2A4A7A6B2599}" name="Micro 3 - F1" dataDxfId="29"/>
    <tableColumn id="17" xr3:uid="{656DA2EC-19B0-B14F-B37E-1B2ADB98A5E4}" name="Micro 4 - F1" dataDxfId="28"/>
    <tableColumn id="15" xr3:uid="{87A87509-1225-F745-A0DE-EBD6AD4AC2F2}" name="Micro 5 - F1" dataDxfId="27"/>
    <tableColumn id="4" xr3:uid="{08A6430E-7538-3D40-AB0B-CB985D908A0F}" name="Micro 1 - F2" dataDxfId="26"/>
    <tableColumn id="5" xr3:uid="{D3DFBA74-A406-AC4A-A4A2-2A34C1498537}" name="Micro 2 - F2" dataDxfId="25"/>
    <tableColumn id="21" xr3:uid="{0A916259-3ED5-7E41-AED4-8E3B95032390}" name="Micro 3 - F2" dataDxfId="24"/>
    <tableColumn id="20" xr3:uid="{71D3DB1F-C009-6C42-AE29-4F44FC041962}" name="Micro 4 - F2" dataDxfId="23"/>
    <tableColumn id="19" xr3:uid="{873CD291-3230-8F4F-9D8B-FB60F8580CEC}" name="Micro 5 - F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0C0C8-C31F-5E4E-9D14-66E1F7AEC803}" name="Table4" displayName="Table4" ref="C164:E185" totalsRowShown="0" headerRowDxfId="21" dataDxfId="20">
  <autoFilter ref="C164:E185" xr:uid="{D2F0C0C8-C31F-5E4E-9D14-66E1F7AEC803}"/>
  <tableColumns count="3">
    <tableColumn id="1" xr3:uid="{0A75EE37-7AB4-E84C-9941-B16D1211F029}" name="FR [Hz]" dataDxfId="19"/>
    <tableColumn id="2" xr3:uid="{84277A98-7338-0E4C-B2C8-BB8CD1DAF656}" name="Tiempo de reverberación (s)" dataDxfId="18"/>
    <tableColumn id="3" xr3:uid="{04F15B87-C293-6B43-9B29-EF0833595512}" name="Área de absorción (m2)" dataDxfId="17">
      <calculatedColumnFormula>(0.16*2.08*4.5*2.5)/Table4[[#This Row],[Tiempo de reverberación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054-13E9-8945-B184-0577FE0EC1C2}">
  <dimension ref="A1:C9"/>
  <sheetViews>
    <sheetView zoomScale="150" zoomScaleNormal="150" workbookViewId="0">
      <selection activeCell="C5" sqref="C5"/>
    </sheetView>
  </sheetViews>
  <sheetFormatPr baseColWidth="10" defaultRowHeight="16" x14ac:dyDescent="0.2"/>
  <cols>
    <col min="2" max="2" width="15.6640625" bestFit="1" customWidth="1"/>
    <col min="3" max="3" width="150.6640625" bestFit="1" customWidth="1"/>
  </cols>
  <sheetData>
    <row r="1" spans="1:3" x14ac:dyDescent="0.2">
      <c r="C1" t="s">
        <v>55</v>
      </c>
    </row>
    <row r="2" spans="1:3" x14ac:dyDescent="0.2">
      <c r="C2" t="s">
        <v>0</v>
      </c>
    </row>
    <row r="3" spans="1:3" x14ac:dyDescent="0.2">
      <c r="C3" t="s">
        <v>1</v>
      </c>
    </row>
    <row r="4" spans="1:3" x14ac:dyDescent="0.2">
      <c r="B4" t="s">
        <v>8</v>
      </c>
      <c r="C4" t="s">
        <v>2</v>
      </c>
    </row>
    <row r="5" spans="1:3" x14ac:dyDescent="0.2">
      <c r="A5" t="s">
        <v>13</v>
      </c>
      <c r="B5" t="s">
        <v>10</v>
      </c>
      <c r="C5" t="s">
        <v>3</v>
      </c>
    </row>
    <row r="6" spans="1:3" x14ac:dyDescent="0.2">
      <c r="A6" t="s">
        <v>14</v>
      </c>
      <c r="B6" t="s">
        <v>9</v>
      </c>
      <c r="C6" t="s">
        <v>4</v>
      </c>
    </row>
    <row r="7" spans="1:3" x14ac:dyDescent="0.2">
      <c r="A7" t="s">
        <v>15</v>
      </c>
      <c r="B7" t="s">
        <v>11</v>
      </c>
      <c r="C7" t="s">
        <v>5</v>
      </c>
    </row>
    <row r="8" spans="1:3" x14ac:dyDescent="0.2">
      <c r="B8" t="s">
        <v>12</v>
      </c>
      <c r="C8" t="s">
        <v>6</v>
      </c>
    </row>
    <row r="9" spans="1:3" x14ac:dyDescent="0.2">
      <c r="A9" t="s">
        <v>16</v>
      </c>
      <c r="B9" t="s">
        <v>17</v>
      </c>
      <c r="C9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0B69-4E17-1143-B9BD-ED149CA05D33}">
  <dimension ref="A1:C9"/>
  <sheetViews>
    <sheetView zoomScale="176" workbookViewId="0">
      <selection activeCell="E19" sqref="E19"/>
    </sheetView>
  </sheetViews>
  <sheetFormatPr baseColWidth="10" defaultRowHeight="16" x14ac:dyDescent="0.2"/>
  <sheetData>
    <row r="1" spans="1:3" x14ac:dyDescent="0.2">
      <c r="C1" t="s">
        <v>55</v>
      </c>
    </row>
    <row r="2" spans="1:3" x14ac:dyDescent="0.2">
      <c r="C2" t="s">
        <v>0</v>
      </c>
    </row>
    <row r="3" spans="1:3" x14ac:dyDescent="0.2">
      <c r="C3" t="s">
        <v>1</v>
      </c>
    </row>
    <row r="4" spans="1:3" x14ac:dyDescent="0.2">
      <c r="B4" t="s">
        <v>8</v>
      </c>
      <c r="C4" t="s">
        <v>2</v>
      </c>
    </row>
    <row r="5" spans="1:3" x14ac:dyDescent="0.2">
      <c r="A5" t="s">
        <v>13</v>
      </c>
      <c r="B5" t="s">
        <v>10</v>
      </c>
      <c r="C5" t="s">
        <v>3</v>
      </c>
    </row>
    <row r="6" spans="1:3" x14ac:dyDescent="0.2">
      <c r="A6" t="s">
        <v>14</v>
      </c>
      <c r="B6" t="s">
        <v>9</v>
      </c>
      <c r="C6" t="s">
        <v>4</v>
      </c>
    </row>
    <row r="7" spans="1:3" x14ac:dyDescent="0.2">
      <c r="A7" t="s">
        <v>15</v>
      </c>
      <c r="B7" t="s">
        <v>11</v>
      </c>
      <c r="C7" t="s">
        <v>5</v>
      </c>
    </row>
    <row r="8" spans="1:3" x14ac:dyDescent="0.2">
      <c r="B8" t="s">
        <v>12</v>
      </c>
      <c r="C8" t="s">
        <v>6</v>
      </c>
    </row>
    <row r="9" spans="1:3" x14ac:dyDescent="0.2">
      <c r="A9" t="s">
        <v>16</v>
      </c>
      <c r="B9" t="s">
        <v>17</v>
      </c>
      <c r="C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408E-A8FA-F24B-8862-BFA2E394ADB6}">
  <dimension ref="A2:P36"/>
  <sheetViews>
    <sheetView zoomScaleNormal="110" workbookViewId="0">
      <selection activeCell="B2" sqref="B2:P35"/>
    </sheetView>
  </sheetViews>
  <sheetFormatPr baseColWidth="10" defaultRowHeight="16" x14ac:dyDescent="0.2"/>
  <cols>
    <col min="1" max="1" width="3.6640625" bestFit="1" customWidth="1"/>
    <col min="9" max="9" width="3.1640625" customWidth="1"/>
  </cols>
  <sheetData>
    <row r="2" spans="1:16" x14ac:dyDescent="0.2">
      <c r="B2" s="165" t="s">
        <v>42</v>
      </c>
      <c r="C2" s="166"/>
      <c r="D2" s="166"/>
      <c r="E2" s="166"/>
      <c r="F2" s="166"/>
      <c r="G2" s="166"/>
      <c r="H2" s="167"/>
      <c r="J2" s="165" t="s">
        <v>42</v>
      </c>
      <c r="K2" s="166"/>
      <c r="L2" s="166"/>
      <c r="M2" s="166"/>
      <c r="N2" s="166"/>
      <c r="O2" s="166"/>
      <c r="P2" s="167"/>
    </row>
    <row r="3" spans="1:16" x14ac:dyDescent="0.2">
      <c r="B3" s="162" t="s">
        <v>25</v>
      </c>
      <c r="C3" s="163"/>
      <c r="D3" s="163"/>
      <c r="E3" s="163"/>
      <c r="F3" s="163"/>
      <c r="G3" s="163"/>
      <c r="H3" s="164"/>
      <c r="J3" s="162" t="s">
        <v>28</v>
      </c>
      <c r="K3" s="163"/>
      <c r="L3" s="163"/>
      <c r="M3" s="163"/>
      <c r="N3" s="163"/>
      <c r="O3" s="163"/>
      <c r="P3" s="164"/>
    </row>
    <row r="4" spans="1:16" x14ac:dyDescent="0.2">
      <c r="B4" s="9" t="s">
        <v>47</v>
      </c>
      <c r="C4" s="10" t="s">
        <v>56</v>
      </c>
      <c r="D4" s="10" t="s">
        <v>57</v>
      </c>
      <c r="E4" s="10" t="s">
        <v>58</v>
      </c>
      <c r="F4" s="10" t="s">
        <v>80</v>
      </c>
      <c r="G4" s="75" t="s">
        <v>27</v>
      </c>
      <c r="H4" s="12" t="s">
        <v>60</v>
      </c>
      <c r="J4" s="9" t="s">
        <v>47</v>
      </c>
      <c r="K4" s="10" t="s">
        <v>56</v>
      </c>
      <c r="L4" s="10" t="s">
        <v>57</v>
      </c>
      <c r="M4" s="10" t="s">
        <v>58</v>
      </c>
      <c r="N4" s="10" t="s">
        <v>80</v>
      </c>
      <c r="O4" s="75" t="s">
        <v>49</v>
      </c>
      <c r="P4" s="12" t="s">
        <v>59</v>
      </c>
    </row>
    <row r="5" spans="1:16" x14ac:dyDescent="0.2">
      <c r="A5" s="35">
        <f>LOG10(B5)</f>
        <v>1.6989700043360187</v>
      </c>
      <c r="B5" s="13">
        <v>50</v>
      </c>
      <c r="C5" s="31">
        <f>Datos!D191</f>
        <v>62.246000000000002</v>
      </c>
      <c r="D5" s="73">
        <f>Datos!E191</f>
        <v>66.763999999999996</v>
      </c>
      <c r="E5" s="31">
        <f>Datos!F191</f>
        <v>64.015000000000001</v>
      </c>
      <c r="F5" s="31">
        <f>Datos!G191</f>
        <v>64.334000000000003</v>
      </c>
      <c r="G5" s="31">
        <f>'2º Alta Frec'!G5</f>
        <v>61.047693842712036</v>
      </c>
      <c r="H5" s="14">
        <f>10*LOG10((10^(0.1*MAX(C5:F5))+2*10^(0.1*G5))/3)</f>
        <v>63.857518375908377</v>
      </c>
      <c r="J5" s="13">
        <v>50</v>
      </c>
      <c r="K5" s="31">
        <f>Datos!H191</f>
        <v>58.215000000000003</v>
      </c>
      <c r="L5" s="73">
        <f>Datos!I191</f>
        <v>63.122999999999998</v>
      </c>
      <c r="M5" s="31">
        <f>Datos!J191</f>
        <v>60.064</v>
      </c>
      <c r="N5" s="31">
        <f>Datos!K191</f>
        <v>62.823</v>
      </c>
      <c r="O5" s="31">
        <f>'2º Alta Frec'!N5</f>
        <v>57.819293694056348</v>
      </c>
      <c r="P5" s="14">
        <f>10*LOG10((10^(0.1*MAX(K5:N5))+2*10^(0.1*O5))/3)</f>
        <v>60.365043943658783</v>
      </c>
    </row>
    <row r="6" spans="1:16" x14ac:dyDescent="0.2">
      <c r="A6" s="35">
        <f t="shared" ref="A6:A7" si="0">LOG10(B6)</f>
        <v>1.7993405494535817</v>
      </c>
      <c r="B6" s="13">
        <v>63</v>
      </c>
      <c r="C6" s="31">
        <f>Datos!D192</f>
        <v>61.597999999999999</v>
      </c>
      <c r="D6" s="73">
        <f>Datos!E192</f>
        <v>64.849000000000004</v>
      </c>
      <c r="E6" s="31">
        <f>Datos!F192</f>
        <v>55.375999999999998</v>
      </c>
      <c r="F6" s="31">
        <f>Datos!G192</f>
        <v>57.78</v>
      </c>
      <c r="G6" s="31">
        <f>'2º Alta Frec'!G6</f>
        <v>50.885519777909884</v>
      </c>
      <c r="H6" s="14">
        <f t="shared" ref="H6:H7" si="1">10*LOG10((10^(0.1*MAX(C6:F6))+2*10^(0.1*G6))/3)</f>
        <v>60.413206260264793</v>
      </c>
      <c r="J6" s="13">
        <v>63</v>
      </c>
      <c r="K6" s="31">
        <f>Datos!H192</f>
        <v>49.427</v>
      </c>
      <c r="L6" s="73">
        <f>Datos!I192</f>
        <v>71.707630993848184</v>
      </c>
      <c r="M6" s="31">
        <f>Datos!J192</f>
        <v>42.884</v>
      </c>
      <c r="N6" s="31">
        <f>Datos!K192</f>
        <v>43.859000000000002</v>
      </c>
      <c r="O6" s="31">
        <f>'2º Alta Frec'!N6</f>
        <v>41.74630326110681</v>
      </c>
      <c r="P6" s="14">
        <f t="shared" ref="P6:P7" si="2">10*LOG10((10^(0.1*MAX(K6:N6))+2*10^(0.1*O6))/3)</f>
        <v>66.945173196122752</v>
      </c>
    </row>
    <row r="7" spans="1:16" x14ac:dyDescent="0.2">
      <c r="A7" s="35">
        <f t="shared" si="0"/>
        <v>1.9030899869919435</v>
      </c>
      <c r="B7" s="15">
        <v>80</v>
      </c>
      <c r="C7" s="32">
        <f>Datos!D193</f>
        <v>64.325000000000003</v>
      </c>
      <c r="D7" s="32">
        <f>Datos!E193</f>
        <v>64.510000000000005</v>
      </c>
      <c r="E7" s="32">
        <f>Datos!F193</f>
        <v>68.628</v>
      </c>
      <c r="F7" s="74">
        <f>Datos!G193</f>
        <v>70.742000000000004</v>
      </c>
      <c r="G7" s="32">
        <f>'2º Alta Frec'!G7</f>
        <v>59.984939944526715</v>
      </c>
      <c r="H7" s="17">
        <f t="shared" si="1"/>
        <v>66.645237036778468</v>
      </c>
      <c r="J7" s="15">
        <v>80</v>
      </c>
      <c r="K7" s="32">
        <f>Datos!H193</f>
        <v>50.901000000000003</v>
      </c>
      <c r="L7" s="74">
        <f>Datos!I193</f>
        <v>67.631388145759573</v>
      </c>
      <c r="M7" s="32">
        <f>Datos!J193</f>
        <v>54.478000000000002</v>
      </c>
      <c r="N7" s="32">
        <f>Datos!K193</f>
        <v>56.164999999999999</v>
      </c>
      <c r="O7" s="32">
        <f>'2º Alta Frec'!N7</f>
        <v>48.447225396398785</v>
      </c>
      <c r="P7" s="17">
        <f t="shared" si="2"/>
        <v>62.963739769611507</v>
      </c>
    </row>
    <row r="9" spans="1:16" x14ac:dyDescent="0.2">
      <c r="B9" s="159" t="s">
        <v>43</v>
      </c>
      <c r="C9" s="160"/>
      <c r="D9" s="160"/>
      <c r="E9" s="160"/>
      <c r="F9" s="160"/>
      <c r="G9" s="160"/>
      <c r="H9" s="161"/>
      <c r="J9" s="159" t="s">
        <v>43</v>
      </c>
      <c r="K9" s="160"/>
      <c r="L9" s="160"/>
      <c r="M9" s="160"/>
      <c r="N9" s="160"/>
      <c r="O9" s="160"/>
      <c r="P9" s="161"/>
    </row>
    <row r="10" spans="1:16" x14ac:dyDescent="0.2">
      <c r="B10" s="162" t="s">
        <v>25</v>
      </c>
      <c r="C10" s="163"/>
      <c r="D10" s="163"/>
      <c r="E10" s="163"/>
      <c r="F10" s="163"/>
      <c r="G10" s="163"/>
      <c r="H10" s="164"/>
      <c r="J10" s="162" t="s">
        <v>28</v>
      </c>
      <c r="K10" s="163"/>
      <c r="L10" s="163"/>
      <c r="M10" s="163"/>
      <c r="N10" s="163"/>
      <c r="O10" s="163"/>
      <c r="P10" s="164"/>
    </row>
    <row r="11" spans="1:16" x14ac:dyDescent="0.2">
      <c r="B11" s="9" t="s">
        <v>47</v>
      </c>
      <c r="C11" s="10" t="s">
        <v>56</v>
      </c>
      <c r="D11" s="10" t="s">
        <v>57</v>
      </c>
      <c r="E11" s="10" t="s">
        <v>58</v>
      </c>
      <c r="F11" s="10" t="s">
        <v>80</v>
      </c>
      <c r="G11" s="75" t="s">
        <v>27</v>
      </c>
      <c r="H11" s="12" t="s">
        <v>60</v>
      </c>
      <c r="J11" s="9" t="s">
        <v>47</v>
      </c>
      <c r="K11" s="10" t="s">
        <v>56</v>
      </c>
      <c r="L11" s="10" t="s">
        <v>57</v>
      </c>
      <c r="M11" s="10" t="s">
        <v>58</v>
      </c>
      <c r="N11" s="10" t="s">
        <v>80</v>
      </c>
      <c r="O11" s="75" t="s">
        <v>49</v>
      </c>
      <c r="P11" s="12" t="s">
        <v>81</v>
      </c>
    </row>
    <row r="12" spans="1:16" x14ac:dyDescent="0.2">
      <c r="B12" s="13">
        <v>50</v>
      </c>
      <c r="C12" s="31">
        <f>Datos!D200</f>
        <v>73.837000000000003</v>
      </c>
      <c r="D12" s="73">
        <f>Datos!E200</f>
        <v>78.269000000000005</v>
      </c>
      <c r="E12" s="31">
        <f>Datos!F200</f>
        <v>74.858000000000004</v>
      </c>
      <c r="F12" s="31">
        <f>Datos!G200</f>
        <v>75.744</v>
      </c>
      <c r="G12" s="31">
        <f>'2º Alta Frec'!G31</f>
        <v>72.641010619606988</v>
      </c>
      <c r="H12" s="14">
        <f>10*LOG10((10^(0.1*MAX(C12:F12))+2*10^(0.1*G12))/3)</f>
        <v>75.393552549721861</v>
      </c>
      <c r="J12" s="13">
        <v>50</v>
      </c>
      <c r="K12" s="31">
        <f>Datos!H200</f>
        <v>73.692999999999998</v>
      </c>
      <c r="L12" s="73">
        <f>Datos!I200</f>
        <v>76.706999999999994</v>
      </c>
      <c r="M12" s="31">
        <f>Datos!J200</f>
        <v>74.662000000000006</v>
      </c>
      <c r="N12" s="31">
        <f>Datos!K200</f>
        <v>75.072000000000003</v>
      </c>
      <c r="O12" s="31">
        <f>'2º Alta Frec'!N31</f>
        <v>71.011640659216425</v>
      </c>
      <c r="P12" s="14">
        <f>10*LOG10((10^(0.1*MAX(K12:N12))+2*10^(0.1*O12))/3)</f>
        <v>73.807841996636412</v>
      </c>
    </row>
    <row r="13" spans="1:16" x14ac:dyDescent="0.2">
      <c r="B13" s="13">
        <v>63</v>
      </c>
      <c r="C13" s="31">
        <f>Datos!D201</f>
        <v>76.168000000000006</v>
      </c>
      <c r="D13" s="31">
        <f>Datos!E201</f>
        <v>76.52</v>
      </c>
      <c r="E13" s="31">
        <f>Datos!F201</f>
        <v>76.983000000000004</v>
      </c>
      <c r="F13" s="73">
        <f>Datos!G201</f>
        <v>77.356999999999999</v>
      </c>
      <c r="G13" s="31">
        <f>'2º Alta Frec'!G32</f>
        <v>71.914584451858062</v>
      </c>
      <c r="H13" s="14">
        <f t="shared" ref="H13:H14" si="3">10*LOG10((10^(0.1*MAX(C13:F13))+2*10^(0.1*G13))/3)</f>
        <v>74.548103037305154</v>
      </c>
      <c r="J13" s="13">
        <v>63</v>
      </c>
      <c r="K13" s="31">
        <f>Datos!H201</f>
        <v>69.144000000000005</v>
      </c>
      <c r="L13" s="31">
        <f>Datos!I201</f>
        <v>67.447999999999993</v>
      </c>
      <c r="M13" s="31">
        <f>Datos!J201</f>
        <v>69.061999999999998</v>
      </c>
      <c r="N13" s="73">
        <f>Datos!K201</f>
        <v>70.048000000000002</v>
      </c>
      <c r="O13" s="31">
        <f>'2º Alta Frec'!N32</f>
        <v>65.092617551720139</v>
      </c>
      <c r="P13" s="14">
        <f t="shared" ref="P13:P14" si="4">10*LOG10((10^(0.1*MAX(K13:N13))+2*10^(0.1*O13))/3)</f>
        <v>67.422541481847077</v>
      </c>
    </row>
    <row r="14" spans="1:16" x14ac:dyDescent="0.2">
      <c r="B14" s="15">
        <v>80</v>
      </c>
      <c r="C14" s="32">
        <f>Datos!D202</f>
        <v>85.448999999999998</v>
      </c>
      <c r="D14" s="32">
        <f>Datos!E202</f>
        <v>81.212999999999994</v>
      </c>
      <c r="E14" s="32">
        <f>Datos!F202</f>
        <v>87.046000000000006</v>
      </c>
      <c r="F14" s="74">
        <f>Datos!G202</f>
        <v>93.168999999999997</v>
      </c>
      <c r="G14" s="32">
        <f>'2º Alta Frec'!G33</f>
        <v>84.941860930615377</v>
      </c>
      <c r="H14" s="17">
        <f t="shared" si="3"/>
        <v>89.539981204221448</v>
      </c>
      <c r="J14" s="15">
        <v>80</v>
      </c>
      <c r="K14" s="32">
        <f>Datos!H202</f>
        <v>75.409000000000006</v>
      </c>
      <c r="L14" s="74">
        <f>Datos!I202</f>
        <v>82.012</v>
      </c>
      <c r="M14" s="32">
        <f>Datos!J202</f>
        <v>76.34</v>
      </c>
      <c r="N14" s="32">
        <f>Datos!K202</f>
        <v>85.123000000000005</v>
      </c>
      <c r="O14" s="32">
        <f>'2º Alta Frec'!N33</f>
        <v>76.907621959793659</v>
      </c>
      <c r="P14" s="17">
        <f t="shared" si="4"/>
        <v>81.496703868446261</v>
      </c>
    </row>
    <row r="16" spans="1:16" x14ac:dyDescent="0.2">
      <c r="B16" s="159" t="s">
        <v>44</v>
      </c>
      <c r="C16" s="160"/>
      <c r="D16" s="160"/>
      <c r="E16" s="160"/>
      <c r="F16" s="160"/>
      <c r="G16" s="160"/>
      <c r="H16" s="161"/>
      <c r="J16" s="159" t="s">
        <v>44</v>
      </c>
      <c r="K16" s="160"/>
      <c r="L16" s="160"/>
      <c r="M16" s="160"/>
      <c r="N16" s="160"/>
      <c r="O16" s="160"/>
      <c r="P16" s="161"/>
    </row>
    <row r="17" spans="2:16" x14ac:dyDescent="0.2">
      <c r="B17" s="162" t="s">
        <v>25</v>
      </c>
      <c r="C17" s="163"/>
      <c r="D17" s="163"/>
      <c r="E17" s="163"/>
      <c r="F17" s="163"/>
      <c r="G17" s="163"/>
      <c r="H17" s="164"/>
      <c r="J17" s="162" t="s">
        <v>28</v>
      </c>
      <c r="K17" s="163"/>
      <c r="L17" s="163"/>
      <c r="M17" s="163"/>
      <c r="N17" s="163"/>
      <c r="O17" s="163"/>
      <c r="P17" s="164"/>
    </row>
    <row r="18" spans="2:16" x14ac:dyDescent="0.2">
      <c r="B18" s="9" t="s">
        <v>47</v>
      </c>
      <c r="C18" s="10" t="s">
        <v>56</v>
      </c>
      <c r="D18" s="10" t="s">
        <v>57</v>
      </c>
      <c r="E18" s="10" t="s">
        <v>58</v>
      </c>
      <c r="F18" s="10" t="s">
        <v>80</v>
      </c>
      <c r="G18" s="75" t="s">
        <v>27</v>
      </c>
      <c r="H18" s="12" t="s">
        <v>60</v>
      </c>
      <c r="J18" s="9" t="s">
        <v>47</v>
      </c>
      <c r="K18" s="10" t="s">
        <v>56</v>
      </c>
      <c r="L18" s="10" t="s">
        <v>57</v>
      </c>
      <c r="M18" s="10" t="s">
        <v>58</v>
      </c>
      <c r="N18" s="10" t="s">
        <v>80</v>
      </c>
      <c r="O18" s="75" t="s">
        <v>49</v>
      </c>
      <c r="P18" s="12" t="s">
        <v>81</v>
      </c>
    </row>
    <row r="19" spans="2:16" x14ac:dyDescent="0.2">
      <c r="B19" s="13">
        <v>50</v>
      </c>
      <c r="C19" s="31">
        <f>Datos!D209</f>
        <v>63.576999999999998</v>
      </c>
      <c r="D19" s="73">
        <f>Datos!E209</f>
        <v>71.221000000000004</v>
      </c>
      <c r="E19" s="31">
        <f>Datos!F209</f>
        <v>65.706000000000003</v>
      </c>
      <c r="F19" s="31">
        <f>Datos!G209</f>
        <v>65.733999999999995</v>
      </c>
      <c r="G19" s="31">
        <f>'2º Alta Frec'!G57</f>
        <v>62.185416690603134</v>
      </c>
      <c r="H19" s="14">
        <f>10*LOG10((10^(0.1*MAX(C19:F19))+2*10^(0.1*G19))/3)</f>
        <v>67.417951298951678</v>
      </c>
      <c r="J19" s="13">
        <v>50</v>
      </c>
      <c r="K19" s="31">
        <f>Datos!H209</f>
        <v>62.84</v>
      </c>
      <c r="L19" s="73">
        <f>Datos!I209</f>
        <v>70.128</v>
      </c>
      <c r="M19" s="31">
        <f>Datos!J209</f>
        <v>63.436999999999998</v>
      </c>
      <c r="N19" s="31">
        <f>Datos!K209</f>
        <v>64.242999999999995</v>
      </c>
      <c r="O19" s="31">
        <f>'2º Alta Frec'!N57</f>
        <v>68.960379500626274</v>
      </c>
      <c r="P19" s="14">
        <f>10*LOG10((10^(0.1*MAX(K19:N19))+2*10^(0.1*O19))/3)</f>
        <v>69.385432161328438</v>
      </c>
    </row>
    <row r="20" spans="2:16" x14ac:dyDescent="0.2">
      <c r="B20" s="13">
        <v>63</v>
      </c>
      <c r="C20" s="31">
        <f>Datos!D210</f>
        <v>65.284999999999997</v>
      </c>
      <c r="D20" s="73">
        <f>Datos!E210</f>
        <v>69.781000000000006</v>
      </c>
      <c r="E20" s="31">
        <f>Datos!F210</f>
        <v>60.976999999999997</v>
      </c>
      <c r="F20" s="31">
        <f>Datos!G210</f>
        <v>61.341000000000001</v>
      </c>
      <c r="G20" s="31">
        <f>'2º Alta Frec'!G58</f>
        <v>63.814501536034562</v>
      </c>
      <c r="H20" s="14">
        <f t="shared" ref="H20:H21" si="5">10*LOG10((10^(0.1*MAX(C20:F20))+2*10^(0.1*G20))/3)</f>
        <v>66.78880884746016</v>
      </c>
      <c r="J20" s="13">
        <v>63</v>
      </c>
      <c r="K20" s="31">
        <f>Datos!H210</f>
        <v>67.72</v>
      </c>
      <c r="L20" s="73">
        <f>Datos!I210</f>
        <v>70.456999999999994</v>
      </c>
      <c r="M20" s="31">
        <f>Datos!J210</f>
        <v>61.262</v>
      </c>
      <c r="N20" s="31">
        <f>Datos!K210</f>
        <v>64.442999999999998</v>
      </c>
      <c r="O20" s="31">
        <f>'2º Alta Frec'!N58</f>
        <v>54.514982413269991</v>
      </c>
      <c r="P20" s="14">
        <f t="shared" ref="P20:P21" si="6">10*LOG10((10^(0.1*MAX(K20:N20))+2*10^(0.1*O20))/3)</f>
        <v>65.901454878003904</v>
      </c>
    </row>
    <row r="21" spans="2:16" x14ac:dyDescent="0.2">
      <c r="B21" s="15">
        <v>80</v>
      </c>
      <c r="C21" s="32">
        <f>Datos!D211</f>
        <v>63.2</v>
      </c>
      <c r="D21" s="74">
        <f>Datos!E211</f>
        <v>71.474000000000004</v>
      </c>
      <c r="E21" s="32">
        <f>Datos!F211</f>
        <v>70.444000000000003</v>
      </c>
      <c r="F21" s="32">
        <f>Datos!G211</f>
        <v>69.606999999999999</v>
      </c>
      <c r="G21" s="32">
        <f>'2º Alta Frec'!G59</f>
        <v>68.782358243584639</v>
      </c>
      <c r="H21" s="17">
        <f t="shared" si="5"/>
        <v>69.875338498053821</v>
      </c>
      <c r="J21" s="15">
        <v>80</v>
      </c>
      <c r="K21" s="32">
        <f>Datos!H211</f>
        <v>65.704999999999998</v>
      </c>
      <c r="L21" s="32">
        <f>Datos!I211</f>
        <v>66.784000000000006</v>
      </c>
      <c r="M21" s="32">
        <f>Datos!J211</f>
        <v>67.311000000000007</v>
      </c>
      <c r="N21" s="74">
        <f>Datos!K211</f>
        <v>69.406999999999996</v>
      </c>
      <c r="O21" s="32">
        <f>'2º Alta Frec'!N59</f>
        <v>58.422646271196641</v>
      </c>
      <c r="P21" s="17">
        <f t="shared" si="6"/>
        <v>65.278266582904294</v>
      </c>
    </row>
    <row r="23" spans="2:16" x14ac:dyDescent="0.2">
      <c r="B23" s="159" t="s">
        <v>45</v>
      </c>
      <c r="C23" s="160"/>
      <c r="D23" s="160"/>
      <c r="E23" s="160"/>
      <c r="F23" s="160"/>
      <c r="G23" s="160"/>
      <c r="H23" s="161"/>
      <c r="J23" s="159" t="s">
        <v>45</v>
      </c>
      <c r="K23" s="160"/>
      <c r="L23" s="160"/>
      <c r="M23" s="160"/>
      <c r="N23" s="160"/>
      <c r="O23" s="160"/>
      <c r="P23" s="161"/>
    </row>
    <row r="24" spans="2:16" x14ac:dyDescent="0.2">
      <c r="B24" s="162" t="s">
        <v>25</v>
      </c>
      <c r="C24" s="163"/>
      <c r="D24" s="163"/>
      <c r="E24" s="163"/>
      <c r="F24" s="163"/>
      <c r="G24" s="163"/>
      <c r="H24" s="164"/>
      <c r="J24" s="162" t="s">
        <v>28</v>
      </c>
      <c r="K24" s="163"/>
      <c r="L24" s="163"/>
      <c r="M24" s="163"/>
      <c r="N24" s="163"/>
      <c r="O24" s="163"/>
      <c r="P24" s="164"/>
    </row>
    <row r="25" spans="2:16" x14ac:dyDescent="0.2">
      <c r="B25" s="9" t="s">
        <v>47</v>
      </c>
      <c r="C25" s="10" t="s">
        <v>56</v>
      </c>
      <c r="D25" s="10" t="s">
        <v>57</v>
      </c>
      <c r="E25" s="10" t="s">
        <v>58</v>
      </c>
      <c r="F25" s="10" t="s">
        <v>80</v>
      </c>
      <c r="G25" s="75" t="s">
        <v>27</v>
      </c>
      <c r="H25" s="12" t="s">
        <v>60</v>
      </c>
      <c r="J25" s="9" t="s">
        <v>47</v>
      </c>
      <c r="K25" s="10" t="s">
        <v>56</v>
      </c>
      <c r="L25" s="10" t="s">
        <v>57</v>
      </c>
      <c r="M25" s="10" t="s">
        <v>58</v>
      </c>
      <c r="N25" s="10" t="s">
        <v>80</v>
      </c>
      <c r="O25" s="75" t="s">
        <v>49</v>
      </c>
      <c r="P25" s="12" t="s">
        <v>81</v>
      </c>
    </row>
    <row r="26" spans="2:16" x14ac:dyDescent="0.2">
      <c r="B26" s="13">
        <v>50</v>
      </c>
      <c r="C26" s="31">
        <f>Datos!D218</f>
        <v>61.042999999999999</v>
      </c>
      <c r="D26" s="31">
        <f>Datos!E218</f>
        <v>65.489999999999995</v>
      </c>
      <c r="E26" s="31">
        <f>Datos!F218</f>
        <v>64.260999999999996</v>
      </c>
      <c r="F26" s="73">
        <f>Datos!G218</f>
        <v>67.335999999999999</v>
      </c>
      <c r="G26" s="31">
        <f>'2º Alta Frec'!G87</f>
        <v>67.180322949173345</v>
      </c>
      <c r="H26" s="14">
        <f>'1º Alta Frec'!M58</f>
        <v>62.185416690603134</v>
      </c>
      <c r="J26" s="13">
        <v>50</v>
      </c>
      <c r="K26" s="31">
        <f>Datos!H218</f>
        <v>57.423000000000002</v>
      </c>
      <c r="L26" s="31">
        <f>Datos!I218</f>
        <v>61.835999999999999</v>
      </c>
      <c r="M26" s="31">
        <f>Datos!J218</f>
        <v>60.539000000000001</v>
      </c>
      <c r="N26" s="73">
        <f>Datos!K218</f>
        <v>65.474000000000004</v>
      </c>
      <c r="O26" s="31">
        <f>'2º Alta Frec'!N83</f>
        <v>60.353684084422554</v>
      </c>
      <c r="P26" s="14">
        <f>10*LOG10((10^(0.1*MAX(K26:N26))+2*10^(0.1*O26))/3)</f>
        <v>62.784982248809357</v>
      </c>
    </row>
    <row r="27" spans="2:16" x14ac:dyDescent="0.2">
      <c r="B27" s="13">
        <v>63</v>
      </c>
      <c r="C27" s="31">
        <f>Datos!D219</f>
        <v>67.81</v>
      </c>
      <c r="D27" s="73">
        <f>Datos!E219</f>
        <v>70.004999999999995</v>
      </c>
      <c r="E27" s="31">
        <f>Datos!F219</f>
        <v>58.158000000000001</v>
      </c>
      <c r="F27" s="31">
        <f>Datos!G219</f>
        <v>61.177</v>
      </c>
      <c r="G27" s="31">
        <f>'2º Alta Frec'!G88</f>
        <v>70.954735800386345</v>
      </c>
      <c r="H27" s="14">
        <f t="shared" ref="H27:H28" si="7">10*LOG10((10^(0.1*MAX(C27:F27))+2*10^(0.1*G27))/3)</f>
        <v>70.660645048225675</v>
      </c>
      <c r="J27" s="13">
        <v>63</v>
      </c>
      <c r="K27" s="31">
        <f>Datos!H219</f>
        <v>65.87</v>
      </c>
      <c r="L27" s="73">
        <f>Datos!I219</f>
        <v>66.738</v>
      </c>
      <c r="M27" s="31">
        <f>Datos!J219</f>
        <v>60.784999999999997</v>
      </c>
      <c r="N27" s="31">
        <f>Datos!K219</f>
        <v>63.795999999999999</v>
      </c>
      <c r="O27" s="31">
        <f>'2º Alta Frec'!N84</f>
        <v>59.557040288110926</v>
      </c>
      <c r="P27" s="14">
        <f t="shared" ref="P27:P28" si="8">10*LOG10((10^(0.1*MAX(K27:N27))+2*10^(0.1*O27))/3)</f>
        <v>63.374276233575671</v>
      </c>
    </row>
    <row r="28" spans="2:16" x14ac:dyDescent="0.2">
      <c r="B28" s="15">
        <v>80</v>
      </c>
      <c r="C28" s="32">
        <f>Datos!D220</f>
        <v>68.558000000000007</v>
      </c>
      <c r="D28" s="32">
        <f>Datos!E220</f>
        <v>63.162999999999997</v>
      </c>
      <c r="E28" s="32">
        <f>Datos!F220</f>
        <v>64.891999999999996</v>
      </c>
      <c r="F28" s="74">
        <f>Datos!G220</f>
        <v>72.558999999999997</v>
      </c>
      <c r="G28" s="32">
        <f>'2º Alta Frec'!G89</f>
        <v>67.5335487123658</v>
      </c>
      <c r="H28" s="17">
        <f t="shared" si="7"/>
        <v>69.906358256061793</v>
      </c>
      <c r="J28" s="15">
        <v>80</v>
      </c>
      <c r="K28" s="32">
        <f>Datos!H220</f>
        <v>65.679000000000002</v>
      </c>
      <c r="L28" s="32">
        <f>Datos!I220</f>
        <v>70.391999999999996</v>
      </c>
      <c r="M28" s="32">
        <f>Datos!J220</f>
        <v>69.462999999999994</v>
      </c>
      <c r="N28" s="74">
        <f>Datos!K220</f>
        <v>73.841999999999999</v>
      </c>
      <c r="O28" s="32">
        <f>'2º Alta Frec'!N85</f>
        <v>66.746428501190309</v>
      </c>
      <c r="P28" s="17">
        <f t="shared" si="8"/>
        <v>70.502081260792878</v>
      </c>
    </row>
    <row r="30" spans="2:16" x14ac:dyDescent="0.2">
      <c r="B30" s="159" t="s">
        <v>46</v>
      </c>
      <c r="C30" s="160"/>
      <c r="D30" s="160"/>
      <c r="E30" s="160"/>
      <c r="F30" s="160"/>
      <c r="G30" s="160"/>
      <c r="H30" s="161"/>
      <c r="J30" s="159" t="s">
        <v>46</v>
      </c>
      <c r="K30" s="160"/>
      <c r="L30" s="160"/>
      <c r="M30" s="160"/>
      <c r="N30" s="160"/>
      <c r="O30" s="160"/>
      <c r="P30" s="161"/>
    </row>
    <row r="31" spans="2:16" x14ac:dyDescent="0.2">
      <c r="B31" s="162" t="s">
        <v>25</v>
      </c>
      <c r="C31" s="163"/>
      <c r="D31" s="163"/>
      <c r="E31" s="163"/>
      <c r="F31" s="163"/>
      <c r="G31" s="163"/>
      <c r="H31" s="164"/>
      <c r="J31" s="162" t="s">
        <v>28</v>
      </c>
      <c r="K31" s="163"/>
      <c r="L31" s="163"/>
      <c r="M31" s="163"/>
      <c r="N31" s="163"/>
      <c r="O31" s="163"/>
      <c r="P31" s="164"/>
    </row>
    <row r="32" spans="2:16" x14ac:dyDescent="0.2">
      <c r="B32" s="9" t="s">
        <v>47</v>
      </c>
      <c r="C32" s="10" t="s">
        <v>56</v>
      </c>
      <c r="D32" s="10" t="s">
        <v>57</v>
      </c>
      <c r="E32" s="10" t="s">
        <v>58</v>
      </c>
      <c r="F32" s="10" t="s">
        <v>80</v>
      </c>
      <c r="G32" s="75" t="s">
        <v>27</v>
      </c>
      <c r="H32" s="12" t="s">
        <v>60</v>
      </c>
      <c r="J32" s="9" t="s">
        <v>47</v>
      </c>
      <c r="K32" s="10" t="s">
        <v>56</v>
      </c>
      <c r="L32" s="10" t="s">
        <v>57</v>
      </c>
      <c r="M32" s="10" t="s">
        <v>58</v>
      </c>
      <c r="N32" s="10" t="s">
        <v>80</v>
      </c>
      <c r="O32" s="75" t="s">
        <v>49</v>
      </c>
      <c r="P32" s="12" t="s">
        <v>81</v>
      </c>
    </row>
    <row r="33" spans="2:16" x14ac:dyDescent="0.2">
      <c r="B33" s="13">
        <v>50</v>
      </c>
      <c r="C33" s="31">
        <f>Datos!D227</f>
        <v>34.265000000000001</v>
      </c>
      <c r="D33" s="31">
        <f>Datos!E227</f>
        <v>54.534999999999997</v>
      </c>
      <c r="E33" s="31">
        <f>Datos!F227</f>
        <v>45.494999999999997</v>
      </c>
      <c r="F33" s="73">
        <f>Datos!G227</f>
        <v>55.497</v>
      </c>
      <c r="G33" s="31">
        <f>'2º Alta Frec'!G110</f>
        <v>50.927637327275932</v>
      </c>
      <c r="H33" s="14">
        <f>10*LOG10((10^(0.1*MAX(C33:F33))+2*10^(0.1*G33))/3)</f>
        <v>53.026144078100131</v>
      </c>
      <c r="J33" s="13">
        <v>50</v>
      </c>
      <c r="K33" s="31">
        <f>Datos!H227</f>
        <v>42.396999999999998</v>
      </c>
      <c r="L33" s="31">
        <f>Datos!I227</f>
        <v>54.89</v>
      </c>
      <c r="M33" s="31">
        <f>Datos!J227</f>
        <v>45.026000000000003</v>
      </c>
      <c r="N33" s="73">
        <f>Datos!K227</f>
        <v>55.006</v>
      </c>
      <c r="O33" s="31">
        <f>'2º Alta Frec'!N110</f>
        <v>50.075400015583256</v>
      </c>
      <c r="P33" s="14">
        <f>10*LOG10((10^(0.1*MAX(K33:N33))+2*10^(0.1*O33))/3)</f>
        <v>52.390220170457134</v>
      </c>
    </row>
    <row r="34" spans="2:16" x14ac:dyDescent="0.2">
      <c r="B34" s="13">
        <v>63</v>
      </c>
      <c r="C34" s="73">
        <f>Datos!D228</f>
        <v>45.587000000000003</v>
      </c>
      <c r="D34" s="31">
        <f>Datos!E228</f>
        <v>41.716000000000001</v>
      </c>
      <c r="E34" s="31">
        <f>Datos!F228</f>
        <v>39.521999999999998</v>
      </c>
      <c r="F34" s="31">
        <f>Datos!G228</f>
        <v>40.747999999999998</v>
      </c>
      <c r="G34" s="31">
        <f>'2º Alta Frec'!G111</f>
        <v>36.604431358309782</v>
      </c>
      <c r="H34" s="14">
        <f t="shared" ref="H34:H35" si="9">10*LOG10((10^(0.1*MAX(C34:F34))+2*10^(0.1*G34))/3)</f>
        <v>41.794596953326753</v>
      </c>
      <c r="J34" s="13">
        <v>63</v>
      </c>
      <c r="K34" s="31">
        <f>Datos!H228</f>
        <v>42.564999999999998</v>
      </c>
      <c r="L34" s="31">
        <f>Datos!I228</f>
        <v>47.085000000000001</v>
      </c>
      <c r="M34" s="31">
        <f>Datos!J228</f>
        <v>49.933999999999997</v>
      </c>
      <c r="N34" s="73">
        <f>Datos!K228</f>
        <v>51.210999999999999</v>
      </c>
      <c r="O34" s="31">
        <f>'2º Alta Frec'!N111</f>
        <v>44.068193971471878</v>
      </c>
      <c r="P34" s="14">
        <f t="shared" ref="P34:P35" si="10">10*LOG10((10^(0.1*MAX(K34:N34))+2*10^(0.1*O34))/3)</f>
        <v>47.857871230641777</v>
      </c>
    </row>
    <row r="35" spans="2:16" x14ac:dyDescent="0.2">
      <c r="B35" s="15">
        <v>80</v>
      </c>
      <c r="C35" s="32">
        <f>Datos!D229</f>
        <v>40.104999999999997</v>
      </c>
      <c r="D35" s="32">
        <f>Datos!E229</f>
        <v>49.543999999999997</v>
      </c>
      <c r="E35" s="32">
        <f>Datos!F229</f>
        <v>49.604999999999997</v>
      </c>
      <c r="F35" s="74">
        <f>Datos!G229</f>
        <v>53.701000000000001</v>
      </c>
      <c r="G35" s="32">
        <f>'2º Alta Frec'!G112</f>
        <v>48.317311495961107</v>
      </c>
      <c r="H35" s="17">
        <f t="shared" si="9"/>
        <v>50.913544882306809</v>
      </c>
      <c r="J35" s="15">
        <v>80</v>
      </c>
      <c r="K35" s="32">
        <f>Datos!H229</f>
        <v>49.247999999999998</v>
      </c>
      <c r="L35" s="74">
        <f>Datos!I229</f>
        <v>55.372</v>
      </c>
      <c r="M35" s="32">
        <f>Datos!J229</f>
        <v>48.936999999999998</v>
      </c>
      <c r="N35" s="32">
        <f>Datos!K229</f>
        <v>47.975999999999999</v>
      </c>
      <c r="O35" s="32">
        <f>'2º Alta Frec'!N112</f>
        <v>48.4738026129424</v>
      </c>
      <c r="P35" s="17">
        <f t="shared" si="10"/>
        <v>52.088408739988175</v>
      </c>
    </row>
    <row r="36" spans="2:16" x14ac:dyDescent="0.2">
      <c r="O36" s="31"/>
    </row>
  </sheetData>
  <mergeCells count="20">
    <mergeCell ref="J24:P24"/>
    <mergeCell ref="B30:H30"/>
    <mergeCell ref="J30:P30"/>
    <mergeCell ref="B31:H31"/>
    <mergeCell ref="J31:P31"/>
    <mergeCell ref="B24:H24"/>
    <mergeCell ref="B23:H23"/>
    <mergeCell ref="J23:P23"/>
    <mergeCell ref="B2:H2"/>
    <mergeCell ref="J2:P2"/>
    <mergeCell ref="B3:H3"/>
    <mergeCell ref="J3:P3"/>
    <mergeCell ref="B9:H9"/>
    <mergeCell ref="J9:P9"/>
    <mergeCell ref="B10:H10"/>
    <mergeCell ref="J10:P10"/>
    <mergeCell ref="B16:H16"/>
    <mergeCell ref="J16:P16"/>
    <mergeCell ref="B17:H17"/>
    <mergeCell ref="J17:P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FE8E-5126-1649-BF9D-74AA9545F426}">
  <dimension ref="A2:R35"/>
  <sheetViews>
    <sheetView showGridLines="0" zoomScale="122" zoomScaleNormal="110" workbookViewId="0">
      <selection activeCell="B2" sqref="B2:R35"/>
    </sheetView>
  </sheetViews>
  <sheetFormatPr baseColWidth="10" defaultRowHeight="16" x14ac:dyDescent="0.2"/>
  <cols>
    <col min="1" max="1" width="3.6640625" style="2" bestFit="1" customWidth="1"/>
    <col min="2" max="2" width="11.5" style="2" customWidth="1"/>
    <col min="3" max="3" width="10" style="2" customWidth="1"/>
    <col min="4" max="4" width="9.5" style="2" customWidth="1"/>
    <col min="5" max="5" width="11.83203125" style="2" bestFit="1" customWidth="1"/>
    <col min="6" max="6" width="9.6640625" style="2" customWidth="1"/>
    <col min="7" max="7" width="12.1640625" style="2" hidden="1" customWidth="1"/>
    <col min="8" max="8" width="11.6640625" style="2" hidden="1" customWidth="1"/>
    <col min="9" max="9" width="11.33203125" style="2" customWidth="1"/>
    <col min="10" max="10" width="2.83203125" style="2" customWidth="1"/>
    <col min="11" max="11" width="12.5" style="2" customWidth="1"/>
    <col min="12" max="13" width="10.83203125" style="2"/>
    <col min="14" max="14" width="11.83203125" style="2" bestFit="1" customWidth="1"/>
    <col min="15" max="15" width="10.83203125" style="2"/>
    <col min="16" max="16" width="12.1640625" style="2" hidden="1" customWidth="1"/>
    <col min="17" max="17" width="0" style="2" hidden="1" customWidth="1"/>
    <col min="18" max="16384" width="10.83203125" style="2"/>
  </cols>
  <sheetData>
    <row r="2" spans="1:18" ht="17" customHeight="1" x14ac:dyDescent="0.2">
      <c r="B2" s="172" t="s">
        <v>42</v>
      </c>
      <c r="C2" s="173"/>
      <c r="D2" s="173"/>
      <c r="E2" s="173"/>
      <c r="F2" s="173"/>
      <c r="G2" s="173"/>
      <c r="H2" s="173"/>
      <c r="I2" s="174"/>
      <c r="K2" s="172" t="s">
        <v>42</v>
      </c>
      <c r="L2" s="173"/>
      <c r="M2" s="173"/>
      <c r="N2" s="173"/>
      <c r="O2" s="173"/>
      <c r="P2" s="173"/>
      <c r="Q2" s="173"/>
      <c r="R2" s="174"/>
    </row>
    <row r="3" spans="1:18" x14ac:dyDescent="0.2">
      <c r="B3" s="162" t="s">
        <v>25</v>
      </c>
      <c r="C3" s="163"/>
      <c r="D3" s="163"/>
      <c r="E3" s="163"/>
      <c r="F3" s="163"/>
      <c r="G3" s="163"/>
      <c r="H3" s="163"/>
      <c r="I3" s="164"/>
      <c r="K3" s="162" t="s">
        <v>28</v>
      </c>
      <c r="L3" s="163"/>
      <c r="M3" s="163"/>
      <c r="N3" s="163"/>
      <c r="O3" s="163"/>
      <c r="P3" s="163"/>
      <c r="Q3" s="163"/>
      <c r="R3" s="164"/>
    </row>
    <row r="4" spans="1:18" ht="27" customHeight="1" x14ac:dyDescent="0.2">
      <c r="B4" s="9"/>
      <c r="C4" s="9"/>
      <c r="D4" s="10"/>
      <c r="E4" s="21" t="s">
        <v>48</v>
      </c>
      <c r="F4" s="21"/>
      <c r="G4" s="75"/>
      <c r="H4" s="75"/>
      <c r="I4" s="76"/>
      <c r="K4" s="9"/>
      <c r="L4" s="9"/>
      <c r="M4" s="10"/>
      <c r="N4" s="21" t="s">
        <v>48</v>
      </c>
      <c r="O4" s="21"/>
      <c r="P4" s="75"/>
      <c r="Q4" s="75"/>
      <c r="R4" s="76"/>
    </row>
    <row r="5" spans="1:18" x14ac:dyDescent="0.2">
      <c r="A5" s="45">
        <f>LOG10(B5)</f>
        <v>1.6989700043360187</v>
      </c>
      <c r="B5" s="13">
        <v>50</v>
      </c>
      <c r="C5" s="33">
        <f>'1º Baja Frec'!H5</f>
        <v>63.857518375908377</v>
      </c>
      <c r="D5" s="33">
        <f>Datos!D$139</f>
        <v>28.146715008355432</v>
      </c>
      <c r="E5" s="33">
        <f>C5-D5</f>
        <v>35.710803367552941</v>
      </c>
      <c r="F5" s="33">
        <f>C5</f>
        <v>63.857518375908377</v>
      </c>
      <c r="G5" s="33">
        <f>10^(F5/10)</f>
        <v>2430814.6080645043</v>
      </c>
      <c r="H5" s="33">
        <f>10^(D5/10)</f>
        <v>652.63671326745498</v>
      </c>
      <c r="I5" s="66">
        <f>IF(E5&lt;=6,C5-1.3,IF(E5&gt;10,C5,10*LOG10(G5-H5)))</f>
        <v>63.857518375908377</v>
      </c>
      <c r="K5" s="13">
        <v>50</v>
      </c>
      <c r="L5" s="33">
        <f>'1º Baja Frec'!P5</f>
        <v>60.365043943658783</v>
      </c>
      <c r="M5" s="33">
        <f>Datos!D139</f>
        <v>28.146715008355432</v>
      </c>
      <c r="N5" s="33">
        <f>L5-M5</f>
        <v>32.218328935303347</v>
      </c>
      <c r="O5" s="33">
        <f>L5</f>
        <v>60.365043943658783</v>
      </c>
      <c r="P5" s="33">
        <f>10^(O5/10)</f>
        <v>1087688.1432405154</v>
      </c>
      <c r="Q5" s="33">
        <f>10^(M5/10)</f>
        <v>652.63671326745498</v>
      </c>
      <c r="R5" s="66">
        <f>IF(N5&lt;=6,L5-1.3,IF(N5&gt;10,L5,10*LOG10(P5-Q5)))</f>
        <v>60.365043943658783</v>
      </c>
    </row>
    <row r="6" spans="1:18" x14ac:dyDescent="0.2">
      <c r="A6" s="45">
        <f t="shared" ref="A6:A7" si="0">LOG10(B6)</f>
        <v>1.7993405494535817</v>
      </c>
      <c r="B6" s="13">
        <v>63</v>
      </c>
      <c r="C6" s="33">
        <f>'1º Baja Frec'!H6</f>
        <v>60.413206260264793</v>
      </c>
      <c r="D6" s="33">
        <f>Datos!D$140</f>
        <v>24.144270722382988</v>
      </c>
      <c r="E6" s="33">
        <f t="shared" ref="E6:E7" si="1">C6-D6</f>
        <v>36.268935537881802</v>
      </c>
      <c r="F6" s="33">
        <f t="shared" ref="F6:F7" si="2">C6</f>
        <v>60.413206260264793</v>
      </c>
      <c r="G6" s="33">
        <f t="shared" ref="G6:G7" si="3">10^(F6/10)</f>
        <v>1099817.5006299468</v>
      </c>
      <c r="H6" s="33">
        <f t="shared" ref="H6:H7" si="4">10^(D6/10)</f>
        <v>259.67316554368347</v>
      </c>
      <c r="I6" s="66">
        <f t="shared" ref="I6:I7" si="5">IF(E6&lt;=6,C6-1.3,IF(E6&gt;10,C6,10*LOG10(G6-H6)))</f>
        <v>60.413206260264793</v>
      </c>
      <c r="K6" s="13">
        <v>63</v>
      </c>
      <c r="L6" s="33">
        <f>'1º Baja Frec'!P6</f>
        <v>66.945173196122752</v>
      </c>
      <c r="M6" s="33">
        <f>Datos!D140</f>
        <v>24.144270722382988</v>
      </c>
      <c r="N6" s="33">
        <f t="shared" ref="N6:N7" si="6">L6-M6</f>
        <v>42.800902473739768</v>
      </c>
      <c r="O6" s="33">
        <f t="shared" ref="O6:O7" si="7">L6</f>
        <v>66.945173196122752</v>
      </c>
      <c r="P6" s="33">
        <f t="shared" ref="P6:P7" si="8">10^(O6/10)</f>
        <v>4948998.4707377534</v>
      </c>
      <c r="Q6" s="33">
        <f t="shared" ref="Q6:Q7" si="9">10^(M6/10)</f>
        <v>259.67316554368347</v>
      </c>
      <c r="R6" s="66">
        <f t="shared" ref="R6:R7" si="10">IF(N6&lt;=6,L6-1.3,IF(N6&gt;10,L6,10*LOG10(P6-Q6)))</f>
        <v>66.945173196122752</v>
      </c>
    </row>
    <row r="7" spans="1:18" x14ac:dyDescent="0.2">
      <c r="A7" s="45">
        <f t="shared" si="0"/>
        <v>1.9030899869919435</v>
      </c>
      <c r="B7" s="15">
        <v>80</v>
      </c>
      <c r="C7" s="23">
        <f>'1º Baja Frec'!H7</f>
        <v>66.645237036778468</v>
      </c>
      <c r="D7" s="23">
        <f>Datos!D$141</f>
        <v>22.944642677805781</v>
      </c>
      <c r="E7" s="23">
        <f t="shared" si="1"/>
        <v>43.700594358972687</v>
      </c>
      <c r="F7" s="23">
        <f t="shared" si="2"/>
        <v>66.645237036778468</v>
      </c>
      <c r="G7" s="23">
        <f t="shared" si="3"/>
        <v>4618742.0017888155</v>
      </c>
      <c r="H7" s="23">
        <f t="shared" si="4"/>
        <v>196.99911166223356</v>
      </c>
      <c r="I7" s="68">
        <f t="shared" si="5"/>
        <v>66.645237036778468</v>
      </c>
      <c r="K7" s="15">
        <v>80</v>
      </c>
      <c r="L7" s="23">
        <f>'1º Baja Frec'!P7</f>
        <v>62.963739769611507</v>
      </c>
      <c r="M7" s="23">
        <f>Datos!D141</f>
        <v>22.944642677805781</v>
      </c>
      <c r="N7" s="23">
        <f t="shared" si="6"/>
        <v>40.019097091805726</v>
      </c>
      <c r="O7" s="23">
        <f t="shared" si="7"/>
        <v>62.963739769611507</v>
      </c>
      <c r="P7" s="23">
        <f t="shared" si="8"/>
        <v>1978672.7690921135</v>
      </c>
      <c r="Q7" s="23">
        <f t="shared" si="9"/>
        <v>196.99911166223356</v>
      </c>
      <c r="R7" s="68">
        <f t="shared" si="10"/>
        <v>62.963739769611507</v>
      </c>
    </row>
    <row r="8" spans="1:18" x14ac:dyDescent="0.2">
      <c r="B8" s="18"/>
      <c r="C8" s="33"/>
      <c r="D8" s="33"/>
      <c r="E8" s="33"/>
      <c r="F8" s="33"/>
      <c r="G8" s="33"/>
      <c r="H8" s="33"/>
      <c r="I8" s="33"/>
      <c r="K8" s="18"/>
      <c r="L8" s="33"/>
      <c r="M8" s="33"/>
      <c r="N8" s="33"/>
      <c r="O8" s="33"/>
      <c r="P8" s="33"/>
      <c r="Q8" s="33"/>
      <c r="R8" s="33"/>
    </row>
    <row r="9" spans="1:18" x14ac:dyDescent="0.2">
      <c r="B9" s="172" t="s">
        <v>43</v>
      </c>
      <c r="C9" s="173"/>
      <c r="D9" s="173"/>
      <c r="E9" s="173"/>
      <c r="F9" s="173"/>
      <c r="G9" s="173"/>
      <c r="H9" s="173"/>
      <c r="I9" s="174"/>
      <c r="K9" s="172" t="s">
        <v>43</v>
      </c>
      <c r="L9" s="173"/>
      <c r="M9" s="173"/>
      <c r="N9" s="173"/>
      <c r="O9" s="173"/>
      <c r="P9" s="173"/>
      <c r="Q9" s="173"/>
      <c r="R9" s="174"/>
    </row>
    <row r="10" spans="1:18" x14ac:dyDescent="0.2">
      <c r="B10" s="162" t="s">
        <v>25</v>
      </c>
      <c r="C10" s="163"/>
      <c r="D10" s="163"/>
      <c r="E10" s="163"/>
      <c r="F10" s="163"/>
      <c r="G10" s="163"/>
      <c r="H10" s="163"/>
      <c r="I10" s="164"/>
      <c r="K10" s="162" t="s">
        <v>28</v>
      </c>
      <c r="L10" s="163"/>
      <c r="M10" s="163"/>
      <c r="N10" s="163"/>
      <c r="O10" s="163"/>
      <c r="P10" s="163"/>
      <c r="Q10" s="163"/>
      <c r="R10" s="164"/>
    </row>
    <row r="11" spans="1:18" ht="27" customHeight="1" x14ac:dyDescent="0.2">
      <c r="B11" s="9"/>
      <c r="C11" s="9"/>
      <c r="D11" s="10"/>
      <c r="E11" s="21" t="s">
        <v>48</v>
      </c>
      <c r="F11" s="21"/>
      <c r="G11" s="75"/>
      <c r="H11" s="75"/>
      <c r="I11" s="76"/>
      <c r="K11" s="9"/>
      <c r="L11" s="9"/>
      <c r="M11" s="10"/>
      <c r="N11" s="21" t="s">
        <v>48</v>
      </c>
      <c r="O11" s="21"/>
      <c r="P11" s="75"/>
      <c r="Q11" s="75"/>
      <c r="R11" s="76"/>
    </row>
    <row r="12" spans="1:18" x14ac:dyDescent="0.2">
      <c r="B12" s="79">
        <v>50</v>
      </c>
      <c r="C12" s="33">
        <f>'1º Baja Frec'!H12</f>
        <v>75.393552549721861</v>
      </c>
      <c r="D12" s="33">
        <f>Datos!E139</f>
        <v>28.254371115550903</v>
      </c>
      <c r="E12" s="33">
        <f t="shared" ref="E12:E14" si="11">C12-D12</f>
        <v>47.139181434170958</v>
      </c>
      <c r="F12" s="33">
        <f>C12</f>
        <v>75.393552549721861</v>
      </c>
      <c r="G12" s="33">
        <f>10^(F12/10)</f>
        <v>34622247.366988368</v>
      </c>
      <c r="H12" s="33">
        <f>10^(D12/10)</f>
        <v>669.01693536777486</v>
      </c>
      <c r="I12" s="66">
        <f>IF(E12&lt;=6,C12-1.3,IF(E12&gt;10,C12,10*LOG10(G12-H12)))</f>
        <v>75.393552549721861</v>
      </c>
      <c r="K12" s="79">
        <v>50</v>
      </c>
      <c r="L12" s="33">
        <f>'1º Baja Frec'!P12</f>
        <v>73.807841996636412</v>
      </c>
      <c r="M12" s="33">
        <f>Datos!E139</f>
        <v>28.254371115550903</v>
      </c>
      <c r="N12" s="33">
        <f t="shared" ref="N12:N14" si="12">L12-M12</f>
        <v>45.553470881085509</v>
      </c>
      <c r="O12" s="33">
        <f>L12</f>
        <v>73.807841996636412</v>
      </c>
      <c r="P12" s="33">
        <f>10^(O12/10)</f>
        <v>24031683.721867654</v>
      </c>
      <c r="Q12" s="33">
        <f>10^(M12/10)</f>
        <v>669.01693536777486</v>
      </c>
      <c r="R12" s="66">
        <f>IF(N12&lt;=6,L12-1.3,IF(N12&gt;10,L12,10*LOG10(P12-Q12)))</f>
        <v>73.807841996636412</v>
      </c>
    </row>
    <row r="13" spans="1:18" x14ac:dyDescent="0.2">
      <c r="B13" s="79">
        <v>63</v>
      </c>
      <c r="C13" s="33">
        <f>'1º Baja Frec'!H13</f>
        <v>74.548103037305154</v>
      </c>
      <c r="D13" s="33">
        <f>Datos!E140</f>
        <v>20.958510761675626</v>
      </c>
      <c r="E13" s="33">
        <f t="shared" si="11"/>
        <v>53.589592275629528</v>
      </c>
      <c r="F13" s="33">
        <f>C13</f>
        <v>74.548103037305154</v>
      </c>
      <c r="G13" s="33">
        <f t="shared" ref="G13:G14" si="13">10^(F13/10)</f>
        <v>28497732.380255528</v>
      </c>
      <c r="H13" s="33">
        <f t="shared" ref="H13:H14" si="14">10^(D13/10)</f>
        <v>124.69558475455808</v>
      </c>
      <c r="I13" s="66">
        <f t="shared" ref="I13:I14" si="15">IF(E13&lt;=6,C13-1.3,IF(E13&gt;10,C13,10*LOG10(G13-H13)))</f>
        <v>74.548103037305154</v>
      </c>
      <c r="K13" s="79">
        <v>63</v>
      </c>
      <c r="L13" s="33">
        <f>'1º Baja Frec'!P13</f>
        <v>67.422541481847077</v>
      </c>
      <c r="M13" s="33">
        <f>Datos!E140</f>
        <v>20.958510761675626</v>
      </c>
      <c r="N13" s="33">
        <f t="shared" si="12"/>
        <v>46.464030720171451</v>
      </c>
      <c r="O13" s="33">
        <f>L13</f>
        <v>67.422541481847077</v>
      </c>
      <c r="P13" s="33">
        <f t="shared" ref="P13:P14" si="16">10^(O13/10)</f>
        <v>5524006.0834522899</v>
      </c>
      <c r="Q13" s="33">
        <f t="shared" ref="Q13:Q14" si="17">10^(M13/10)</f>
        <v>124.69558475455808</v>
      </c>
      <c r="R13" s="66">
        <f t="shared" ref="R13:R14" si="18">IF(N13&lt;=6,L13-1.3,IF(N13&gt;10,L13,10*LOG10(P13-Q13)))</f>
        <v>67.422541481847077</v>
      </c>
    </row>
    <row r="14" spans="1:18" x14ac:dyDescent="0.2">
      <c r="B14" s="80">
        <v>80</v>
      </c>
      <c r="C14" s="23">
        <f>'1º Baja Frec'!H14</f>
        <v>89.539981204221448</v>
      </c>
      <c r="D14" s="23">
        <f>Datos!E141</f>
        <v>20.581794400146041</v>
      </c>
      <c r="E14" s="23">
        <f t="shared" si="11"/>
        <v>68.95818680407541</v>
      </c>
      <c r="F14" s="23">
        <f t="shared" ref="F14" si="19">C14</f>
        <v>89.539981204221448</v>
      </c>
      <c r="G14" s="23">
        <f t="shared" si="13"/>
        <v>899493688.6137172</v>
      </c>
      <c r="H14" s="23">
        <f t="shared" si="14"/>
        <v>114.33506421437312</v>
      </c>
      <c r="I14" s="68">
        <f t="shared" si="15"/>
        <v>89.539981204221448</v>
      </c>
      <c r="K14" s="80">
        <v>80</v>
      </c>
      <c r="L14" s="23">
        <f>'1º Baja Frec'!P14</f>
        <v>81.496703868446261</v>
      </c>
      <c r="M14" s="23">
        <f>Datos!E141</f>
        <v>20.581794400146041</v>
      </c>
      <c r="N14" s="23">
        <f t="shared" si="12"/>
        <v>60.914909468300223</v>
      </c>
      <c r="O14" s="23">
        <f t="shared" ref="O14" si="20">L14</f>
        <v>81.496703868446261</v>
      </c>
      <c r="P14" s="23">
        <f t="shared" si="16"/>
        <v>141146588.85500899</v>
      </c>
      <c r="Q14" s="23">
        <f t="shared" si="17"/>
        <v>114.33506421437312</v>
      </c>
      <c r="R14" s="68">
        <f t="shared" si="18"/>
        <v>81.496703868446261</v>
      </c>
    </row>
    <row r="15" spans="1:18" x14ac:dyDescent="0.2">
      <c r="B15" s="33"/>
      <c r="C15" s="33"/>
      <c r="D15" s="45"/>
      <c r="E15" s="33"/>
      <c r="F15" s="33"/>
      <c r="G15" s="33"/>
      <c r="H15" s="33"/>
      <c r="I15" s="33"/>
      <c r="K15" s="33"/>
      <c r="L15" s="33"/>
      <c r="M15" s="45"/>
      <c r="N15" s="33"/>
      <c r="O15" s="33"/>
      <c r="P15" s="33"/>
      <c r="Q15" s="33"/>
      <c r="R15" s="33"/>
    </row>
    <row r="16" spans="1:18" x14ac:dyDescent="0.2">
      <c r="B16" s="172" t="s">
        <v>44</v>
      </c>
      <c r="C16" s="173"/>
      <c r="D16" s="173"/>
      <c r="E16" s="173"/>
      <c r="F16" s="173"/>
      <c r="G16" s="173"/>
      <c r="H16" s="173"/>
      <c r="I16" s="174"/>
      <c r="K16" s="172" t="s">
        <v>44</v>
      </c>
      <c r="L16" s="173"/>
      <c r="M16" s="173"/>
      <c r="N16" s="173"/>
      <c r="O16" s="173"/>
      <c r="P16" s="173"/>
      <c r="Q16" s="173"/>
      <c r="R16" s="174"/>
    </row>
    <row r="17" spans="2:18" x14ac:dyDescent="0.2">
      <c r="B17" s="162" t="s">
        <v>25</v>
      </c>
      <c r="C17" s="163"/>
      <c r="D17" s="163"/>
      <c r="E17" s="163"/>
      <c r="F17" s="163"/>
      <c r="G17" s="163"/>
      <c r="H17" s="163"/>
      <c r="I17" s="164"/>
      <c r="K17" s="162" t="s">
        <v>28</v>
      </c>
      <c r="L17" s="163"/>
      <c r="M17" s="163"/>
      <c r="N17" s="163"/>
      <c r="O17" s="163"/>
      <c r="P17" s="163"/>
      <c r="Q17" s="163"/>
      <c r="R17" s="164"/>
    </row>
    <row r="18" spans="2:18" ht="27" customHeight="1" x14ac:dyDescent="0.2">
      <c r="B18" s="9"/>
      <c r="C18" s="9"/>
      <c r="D18" s="10"/>
      <c r="E18" s="21" t="s">
        <v>48</v>
      </c>
      <c r="F18" s="21"/>
      <c r="G18" s="75"/>
      <c r="H18" s="75"/>
      <c r="I18" s="76"/>
      <c r="K18" s="9"/>
      <c r="L18" s="9"/>
      <c r="M18" s="10"/>
      <c r="N18" s="21" t="s">
        <v>48</v>
      </c>
      <c r="O18" s="21"/>
      <c r="P18" s="75"/>
      <c r="Q18" s="75"/>
      <c r="R18" s="76"/>
    </row>
    <row r="19" spans="2:18" x14ac:dyDescent="0.2">
      <c r="B19" s="79">
        <v>50</v>
      </c>
      <c r="C19" s="33">
        <f>'1º Baja Frec'!H19</f>
        <v>67.417951298951678</v>
      </c>
      <c r="D19" s="33">
        <f>Datos!F$139</f>
        <v>30.472388961003034</v>
      </c>
      <c r="E19" s="33">
        <f t="shared" ref="E19:E21" si="21">C19-D19</f>
        <v>36.945562337948644</v>
      </c>
      <c r="F19" s="33">
        <f>C19</f>
        <v>67.417951298951678</v>
      </c>
      <c r="G19" s="33">
        <f>10^(F19/10)</f>
        <v>5518170.6873863619</v>
      </c>
      <c r="H19" s="33">
        <f>10^(D19/10)</f>
        <v>1114.9076517841513</v>
      </c>
      <c r="I19" s="66">
        <f>IF(E19&lt;=6,C19-1.3,IF(E19&gt;10,C19,10*LOG10(G19-H19)))</f>
        <v>67.417951298951678</v>
      </c>
      <c r="K19" s="79">
        <v>50</v>
      </c>
      <c r="L19" s="33">
        <f>'1º Baja Frec'!P19</f>
        <v>69.385432161328438</v>
      </c>
      <c r="M19" s="33">
        <f>Datos!F$139</f>
        <v>30.472388961003034</v>
      </c>
      <c r="N19" s="33">
        <f t="shared" ref="N19:N21" si="22">L19-M19</f>
        <v>38.913043200325404</v>
      </c>
      <c r="O19" s="33">
        <f>L19</f>
        <v>69.385432161328438</v>
      </c>
      <c r="P19" s="33">
        <f>10^(O19/10)</f>
        <v>8680469.5132548232</v>
      </c>
      <c r="Q19" s="33">
        <f>10^(M19/10)</f>
        <v>1114.9076517841513</v>
      </c>
      <c r="R19" s="66">
        <f>IF(N19&lt;=6,L19-1.3,IF(N19&gt;10,L19,10*LOG10(P19-Q19)))</f>
        <v>69.385432161328438</v>
      </c>
    </row>
    <row r="20" spans="2:18" x14ac:dyDescent="0.2">
      <c r="B20" s="79">
        <v>63</v>
      </c>
      <c r="C20" s="33">
        <f>'1º Baja Frec'!H20</f>
        <v>66.78880884746016</v>
      </c>
      <c r="D20" s="33">
        <f>Datos!F$140</f>
        <v>22.267898348691833</v>
      </c>
      <c r="E20" s="33">
        <f t="shared" si="21"/>
        <v>44.52091049876833</v>
      </c>
      <c r="F20" s="33">
        <f t="shared" ref="F20:F21" si="23">C20</f>
        <v>66.78880884746016</v>
      </c>
      <c r="G20" s="33">
        <f t="shared" ref="G20:G21" si="24">10^(F20/10)</f>
        <v>4773983.1822690703</v>
      </c>
      <c r="H20" s="33">
        <f t="shared" ref="H20:H21" si="25">10^(D20/10)</f>
        <v>168.57370608729209</v>
      </c>
      <c r="I20" s="66">
        <f t="shared" ref="I20:I21" si="26">IF(E20&lt;=6,C20-1.3,IF(E20&gt;10,C20,10*LOG10(G20-H20)))</f>
        <v>66.78880884746016</v>
      </c>
      <c r="K20" s="79">
        <v>63</v>
      </c>
      <c r="L20" s="33">
        <f>'1º Baja Frec'!P20</f>
        <v>65.901454878003904</v>
      </c>
      <c r="M20" s="33">
        <f>Datos!F$140</f>
        <v>22.267898348691833</v>
      </c>
      <c r="N20" s="33">
        <f t="shared" si="22"/>
        <v>43.633556529312074</v>
      </c>
      <c r="O20" s="33">
        <f t="shared" ref="O20:O21" si="27">L20</f>
        <v>65.901454878003904</v>
      </c>
      <c r="P20" s="33">
        <f t="shared" ref="P20:P21" si="28">10^(O20/10)</f>
        <v>3891754.9618795565</v>
      </c>
      <c r="Q20" s="33">
        <f t="shared" ref="Q20:Q21" si="29">10^(M20/10)</f>
        <v>168.57370608729209</v>
      </c>
      <c r="R20" s="66">
        <f t="shared" ref="R20:R21" si="30">IF(N20&lt;=6,L20-1.3,IF(N20&gt;10,L20,10*LOG10(P20-Q20)))</f>
        <v>65.901454878003904</v>
      </c>
    </row>
    <row r="21" spans="2:18" x14ac:dyDescent="0.2">
      <c r="B21" s="80">
        <v>80</v>
      </c>
      <c r="C21" s="23">
        <f>'1º Baja Frec'!H21</f>
        <v>69.875338498053821</v>
      </c>
      <c r="D21" s="23">
        <f>Datos!F$141</f>
        <v>20.676143210844369</v>
      </c>
      <c r="E21" s="23">
        <f t="shared" si="21"/>
        <v>49.199195287209449</v>
      </c>
      <c r="F21" s="23">
        <f t="shared" si="23"/>
        <v>69.875338498053821</v>
      </c>
      <c r="G21" s="23">
        <f t="shared" si="24"/>
        <v>9717036.8520993702</v>
      </c>
      <c r="H21" s="23">
        <f t="shared" si="25"/>
        <v>116.84612681447626</v>
      </c>
      <c r="I21" s="68">
        <f t="shared" si="26"/>
        <v>69.875338498053821</v>
      </c>
      <c r="K21" s="80">
        <v>80</v>
      </c>
      <c r="L21" s="23">
        <f>'1º Baja Frec'!P21</f>
        <v>65.278266582904294</v>
      </c>
      <c r="M21" s="23">
        <f>Datos!F$141</f>
        <v>20.676143210844369</v>
      </c>
      <c r="N21" s="23">
        <f t="shared" si="22"/>
        <v>44.602123372059921</v>
      </c>
      <c r="O21" s="23">
        <f t="shared" si="27"/>
        <v>65.278266582904294</v>
      </c>
      <c r="P21" s="23">
        <f t="shared" si="28"/>
        <v>3371527.1267662649</v>
      </c>
      <c r="Q21" s="23">
        <f t="shared" si="29"/>
        <v>116.84612681447626</v>
      </c>
      <c r="R21" s="68">
        <f t="shared" si="30"/>
        <v>65.278266582904294</v>
      </c>
    </row>
    <row r="22" spans="2:18" x14ac:dyDescent="0.2">
      <c r="B22" s="33"/>
      <c r="C22" s="33"/>
      <c r="D22" s="45"/>
      <c r="E22" s="33"/>
      <c r="F22" s="33"/>
      <c r="G22" s="33"/>
      <c r="H22" s="33"/>
      <c r="I22" s="33"/>
      <c r="K22" s="33"/>
      <c r="L22" s="33"/>
      <c r="M22" s="45"/>
      <c r="N22" s="33"/>
      <c r="O22" s="33"/>
      <c r="P22" s="33"/>
      <c r="Q22" s="33"/>
      <c r="R22" s="33"/>
    </row>
    <row r="23" spans="2:18" x14ac:dyDescent="0.2">
      <c r="B23" s="172" t="s">
        <v>45</v>
      </c>
      <c r="C23" s="173"/>
      <c r="D23" s="173"/>
      <c r="E23" s="173"/>
      <c r="F23" s="173"/>
      <c r="G23" s="173"/>
      <c r="H23" s="173"/>
      <c r="I23" s="174"/>
      <c r="K23" s="172" t="s">
        <v>45</v>
      </c>
      <c r="L23" s="173"/>
      <c r="M23" s="173"/>
      <c r="N23" s="173"/>
      <c r="O23" s="173"/>
      <c r="P23" s="173"/>
      <c r="Q23" s="173"/>
      <c r="R23" s="174"/>
    </row>
    <row r="24" spans="2:18" x14ac:dyDescent="0.2">
      <c r="B24" s="162" t="s">
        <v>25</v>
      </c>
      <c r="C24" s="163"/>
      <c r="D24" s="163"/>
      <c r="E24" s="163"/>
      <c r="F24" s="163"/>
      <c r="G24" s="163"/>
      <c r="H24" s="163"/>
      <c r="I24" s="164"/>
      <c r="K24" s="162" t="s">
        <v>28</v>
      </c>
      <c r="L24" s="163"/>
      <c r="M24" s="163"/>
      <c r="N24" s="163"/>
      <c r="O24" s="163"/>
      <c r="P24" s="163"/>
      <c r="Q24" s="163"/>
      <c r="R24" s="164"/>
    </row>
    <row r="25" spans="2:18" ht="27" customHeight="1" x14ac:dyDescent="0.2">
      <c r="B25" s="9"/>
      <c r="C25" s="9"/>
      <c r="D25" s="10"/>
      <c r="E25" s="21" t="s">
        <v>48</v>
      </c>
      <c r="F25" s="21"/>
      <c r="G25" s="75"/>
      <c r="H25" s="75"/>
      <c r="I25" s="76"/>
      <c r="K25" s="9"/>
      <c r="L25" s="9"/>
      <c r="M25" s="10"/>
      <c r="N25" s="21" t="s">
        <v>48</v>
      </c>
      <c r="O25" s="21"/>
      <c r="P25" s="75"/>
      <c r="Q25" s="75"/>
      <c r="R25" s="76"/>
    </row>
    <row r="26" spans="2:18" x14ac:dyDescent="0.2">
      <c r="B26" s="79">
        <v>50</v>
      </c>
      <c r="C26" s="33">
        <f>'1º Baja Frec'!H26</f>
        <v>62.185416690603134</v>
      </c>
      <c r="D26" s="33">
        <f>Datos!G$139</f>
        <v>26.630519956313577</v>
      </c>
      <c r="E26" s="33">
        <f t="shared" ref="E26:E28" si="31">C26-D26</f>
        <v>35.554896734289557</v>
      </c>
      <c r="F26" s="33">
        <f>C26</f>
        <v>62.185416690603134</v>
      </c>
      <c r="G26" s="33">
        <f>10^(F26/10)</f>
        <v>1654023.4750161339</v>
      </c>
      <c r="H26" s="33">
        <f>10^(D26/10)</f>
        <v>460.31168080644443</v>
      </c>
      <c r="I26" s="66">
        <f>IF(E26&lt;=6,C26-1.3,IF(E26&gt;10,C26,10*LOG10(G26-H26)))</f>
        <v>62.185416690603134</v>
      </c>
      <c r="K26" s="79">
        <v>50</v>
      </c>
      <c r="L26" s="33">
        <f>'1º Baja Frec'!P26</f>
        <v>62.784982248809357</v>
      </c>
      <c r="M26" s="33">
        <f>Datos!G$139</f>
        <v>26.630519956313577</v>
      </c>
      <c r="N26" s="33">
        <f t="shared" ref="N26:N28" si="32">L26-M26</f>
        <v>36.154462292495779</v>
      </c>
      <c r="O26" s="33">
        <f>L26</f>
        <v>62.784982248809357</v>
      </c>
      <c r="P26" s="33">
        <f>10^(O26/10)</f>
        <v>1898883.0806616365</v>
      </c>
      <c r="Q26" s="33">
        <f>10^(M26/10)</f>
        <v>460.31168080644443</v>
      </c>
      <c r="R26" s="66">
        <f>IF(N26&lt;=6,L26-1.3,IF(N26&gt;10,L26,10*LOG10(P26-Q26)))</f>
        <v>62.784982248809357</v>
      </c>
    </row>
    <row r="27" spans="2:18" x14ac:dyDescent="0.2">
      <c r="B27" s="79">
        <v>63</v>
      </c>
      <c r="C27" s="33">
        <f>'1º Baja Frec'!H27</f>
        <v>70.660645048225675</v>
      </c>
      <c r="D27" s="33">
        <f>Datos!G$140</f>
        <v>20.834531205503037</v>
      </c>
      <c r="E27" s="33">
        <f t="shared" si="31"/>
        <v>49.826113842722634</v>
      </c>
      <c r="F27" s="33">
        <f t="shared" ref="F27:F28" si="33">C27</f>
        <v>70.660645048225675</v>
      </c>
      <c r="G27" s="33">
        <f t="shared" ref="G27:G28" si="34">10^(F27/10)</f>
        <v>11642989.473797191</v>
      </c>
      <c r="H27" s="33">
        <f t="shared" ref="H27:H28" si="35">10^(D27/10)</f>
        <v>121.1861868591363</v>
      </c>
      <c r="I27" s="66">
        <f t="shared" ref="I27:I28" si="36">IF(E27&lt;=6,C27-1.3,IF(E27&gt;10,C27,10*LOG10(G27-H27)))</f>
        <v>70.660645048225675</v>
      </c>
      <c r="K27" s="79">
        <v>63</v>
      </c>
      <c r="L27" s="33">
        <f>'1º Baja Frec'!P27</f>
        <v>63.374276233575671</v>
      </c>
      <c r="M27" s="33">
        <f>Datos!G$140</f>
        <v>20.834531205503037</v>
      </c>
      <c r="N27" s="33">
        <f t="shared" si="32"/>
        <v>42.53974502807263</v>
      </c>
      <c r="O27" s="33">
        <f t="shared" ref="O27:O28" si="37">L27</f>
        <v>63.374276233575671</v>
      </c>
      <c r="P27" s="33">
        <f t="shared" ref="P27:P28" si="38">10^(O27/10)</f>
        <v>2174841.5591242039</v>
      </c>
      <c r="Q27" s="33">
        <f t="shared" ref="Q27:Q28" si="39">10^(M27/10)</f>
        <v>121.1861868591363</v>
      </c>
      <c r="R27" s="66">
        <f t="shared" ref="R27:R28" si="40">IF(N27&lt;=6,L27-1.3,IF(N27&gt;10,L27,10*LOG10(P27-Q27)))</f>
        <v>63.374276233575671</v>
      </c>
    </row>
    <row r="28" spans="2:18" x14ac:dyDescent="0.2">
      <c r="B28" s="80">
        <v>80</v>
      </c>
      <c r="C28" s="23">
        <f>'1º Baja Frec'!H28</f>
        <v>69.906358256061793</v>
      </c>
      <c r="D28" s="23">
        <f>Datos!G$141</f>
        <v>20.268912664618064</v>
      </c>
      <c r="E28" s="23">
        <f t="shared" si="31"/>
        <v>49.637445591443729</v>
      </c>
      <c r="F28" s="23">
        <f t="shared" si="33"/>
        <v>69.906358256061793</v>
      </c>
      <c r="G28" s="23">
        <f t="shared" si="34"/>
        <v>9786689.8566747997</v>
      </c>
      <c r="H28" s="23">
        <f t="shared" si="35"/>
        <v>106.38766239763174</v>
      </c>
      <c r="I28" s="68">
        <f t="shared" si="36"/>
        <v>69.906358256061793</v>
      </c>
      <c r="K28" s="80">
        <v>80</v>
      </c>
      <c r="L28" s="23">
        <f>'1º Baja Frec'!P28</f>
        <v>70.502081260792878</v>
      </c>
      <c r="M28" s="23">
        <f>Datos!G$141</f>
        <v>20.268912664618064</v>
      </c>
      <c r="N28" s="23">
        <f t="shared" si="32"/>
        <v>50.233168596174814</v>
      </c>
      <c r="O28" s="23">
        <f t="shared" si="37"/>
        <v>70.502081260792878</v>
      </c>
      <c r="P28" s="23">
        <f t="shared" si="38"/>
        <v>11225562.85832021</v>
      </c>
      <c r="Q28" s="23">
        <f t="shared" si="39"/>
        <v>106.38766239763174</v>
      </c>
      <c r="R28" s="68">
        <f t="shared" si="40"/>
        <v>70.502081260792878</v>
      </c>
    </row>
    <row r="29" spans="2:18" x14ac:dyDescent="0.2">
      <c r="B29" s="45"/>
      <c r="C29" s="45"/>
      <c r="D29" s="45"/>
      <c r="E29" s="45"/>
      <c r="F29" s="45"/>
      <c r="G29" s="45"/>
      <c r="H29" s="45"/>
      <c r="I29" s="45"/>
    </row>
    <row r="30" spans="2:18" x14ac:dyDescent="0.2">
      <c r="B30" s="172" t="s">
        <v>46</v>
      </c>
      <c r="C30" s="173"/>
      <c r="D30" s="173"/>
      <c r="E30" s="173"/>
      <c r="F30" s="173"/>
      <c r="G30" s="173"/>
      <c r="H30" s="173"/>
      <c r="I30" s="174"/>
      <c r="K30" s="172" t="s">
        <v>46</v>
      </c>
      <c r="L30" s="173"/>
      <c r="M30" s="173"/>
      <c r="N30" s="173"/>
      <c r="O30" s="173"/>
      <c r="P30" s="173"/>
      <c r="Q30" s="173"/>
      <c r="R30" s="174"/>
    </row>
    <row r="31" spans="2:18" x14ac:dyDescent="0.2">
      <c r="B31" s="162" t="s">
        <v>25</v>
      </c>
      <c r="C31" s="163"/>
      <c r="D31" s="163"/>
      <c r="E31" s="163"/>
      <c r="F31" s="163"/>
      <c r="G31" s="163"/>
      <c r="H31" s="163"/>
      <c r="I31" s="164"/>
      <c r="K31" s="162" t="s">
        <v>28</v>
      </c>
      <c r="L31" s="163"/>
      <c r="M31" s="163"/>
      <c r="N31" s="163"/>
      <c r="O31" s="163"/>
      <c r="P31" s="163"/>
      <c r="Q31" s="163"/>
      <c r="R31" s="164"/>
    </row>
    <row r="32" spans="2:18" ht="27" customHeight="1" x14ac:dyDescent="0.2">
      <c r="B32" s="9"/>
      <c r="C32" s="9"/>
      <c r="D32" s="10"/>
      <c r="E32" s="21" t="s">
        <v>48</v>
      </c>
      <c r="F32" s="21"/>
      <c r="G32" s="75"/>
      <c r="H32" s="75"/>
      <c r="I32" s="76"/>
      <c r="K32" s="9"/>
      <c r="L32" s="9"/>
      <c r="M32" s="10"/>
      <c r="N32" s="21" t="s">
        <v>48</v>
      </c>
      <c r="O32" s="21"/>
      <c r="P32" s="75"/>
      <c r="Q32" s="75"/>
      <c r="R32" s="76"/>
    </row>
    <row r="33" spans="2:18" x14ac:dyDescent="0.2">
      <c r="B33" s="79">
        <v>50</v>
      </c>
      <c r="C33" s="33">
        <f>'1º Baja Frec'!H33</f>
        <v>53.026144078100131</v>
      </c>
      <c r="D33" s="33">
        <f>Datos!H$139</f>
        <v>28.431945418000002</v>
      </c>
      <c r="E33" s="33">
        <f t="shared" ref="E33:E35" si="41">C33-D33</f>
        <v>24.59419866010013</v>
      </c>
      <c r="F33" s="33">
        <f>C33</f>
        <v>53.026144078100131</v>
      </c>
      <c r="G33" s="33">
        <f>10^(F33/10)</f>
        <v>200730.98134603992</v>
      </c>
      <c r="H33" s="33">
        <f>10^(D33/10)</f>
        <v>696.93863719742626</v>
      </c>
      <c r="I33" s="66">
        <f>IF(E33&lt;=6,C33-1.3,IF(E33&gt;10,C33,10*LOG10(G33-H33)))</f>
        <v>53.026144078100131</v>
      </c>
      <c r="K33" s="79">
        <v>50</v>
      </c>
      <c r="L33" s="33">
        <f>'1º Baja Frec'!P33</f>
        <v>52.390220170457134</v>
      </c>
      <c r="M33" s="33">
        <f>Datos!H$139</f>
        <v>28.431945418000002</v>
      </c>
      <c r="N33" s="33">
        <f t="shared" ref="N33:N35" si="42">L33-M33</f>
        <v>23.958274752457132</v>
      </c>
      <c r="O33" s="33">
        <f>L33</f>
        <v>52.390220170457134</v>
      </c>
      <c r="P33" s="33">
        <f>10^(O33/10)</f>
        <v>173389.18971198981</v>
      </c>
      <c r="Q33" s="33">
        <f>10^(M33/10)</f>
        <v>696.93863719742626</v>
      </c>
      <c r="R33" s="66">
        <f>IF(N33&lt;=6,L33-1.3,IF(N33&gt;10,L33,10*LOG10(P33-Q33)))</f>
        <v>52.390220170457134</v>
      </c>
    </row>
    <row r="34" spans="2:18" x14ac:dyDescent="0.2">
      <c r="B34" s="79">
        <v>63</v>
      </c>
      <c r="C34" s="33">
        <f>'1º Baja Frec'!H34</f>
        <v>41.794596953326753</v>
      </c>
      <c r="D34" s="33">
        <f>Datos!H$140</f>
        <v>22.058936862420001</v>
      </c>
      <c r="E34" s="33">
        <f t="shared" si="41"/>
        <v>19.735660090906752</v>
      </c>
      <c r="F34" s="33">
        <f t="shared" ref="F34:F35" si="43">C34</f>
        <v>41.794596953326753</v>
      </c>
      <c r="G34" s="33">
        <f t="shared" ref="G34:G35" si="44">10^(F34/10)</f>
        <v>15116.794015555157</v>
      </c>
      <c r="H34" s="33">
        <f t="shared" ref="H34:H35" si="45">10^(D34/10)</f>
        <v>160.65479276039534</v>
      </c>
      <c r="I34" s="66">
        <f t="shared" ref="I34:I35" si="46">IF(E34&lt;=6,C34-1.3,IF(E34&gt;10,C34,10*LOG10(G34-H34)))</f>
        <v>41.794596953326753</v>
      </c>
      <c r="K34" s="79">
        <v>63</v>
      </c>
      <c r="L34" s="33">
        <f>'1º Baja Frec'!P34</f>
        <v>47.857871230641777</v>
      </c>
      <c r="M34" s="33">
        <f>Datos!H$140</f>
        <v>22.058936862420001</v>
      </c>
      <c r="N34" s="33">
        <f t="shared" si="42"/>
        <v>25.798934368221776</v>
      </c>
      <c r="O34" s="33">
        <f t="shared" ref="O34:O35" si="47">L34</f>
        <v>47.857871230641777</v>
      </c>
      <c r="P34" s="33">
        <f t="shared" ref="P34:P35" si="48">10^(O34/10)</f>
        <v>61064.263450945466</v>
      </c>
      <c r="Q34" s="33">
        <f t="shared" ref="Q34:Q35" si="49">10^(M34/10)</f>
        <v>160.65479276039534</v>
      </c>
      <c r="R34" s="66">
        <f t="shared" ref="R34:R35" si="50">IF(N34&lt;=6,L34-1.3,IF(N34&gt;10,L34,10*LOG10(P34-Q34)))</f>
        <v>47.857871230641777</v>
      </c>
    </row>
    <row r="35" spans="2:18" x14ac:dyDescent="0.2">
      <c r="B35" s="80">
        <v>80</v>
      </c>
      <c r="C35" s="23">
        <f>'1º Baja Frec'!H35</f>
        <v>50.913544882306809</v>
      </c>
      <c r="D35" s="23">
        <f>Datos!H$141</f>
        <v>19.9661818936953</v>
      </c>
      <c r="E35" s="23">
        <f t="shared" si="41"/>
        <v>30.947362988611509</v>
      </c>
      <c r="F35" s="23">
        <f t="shared" si="43"/>
        <v>50.913544882306809</v>
      </c>
      <c r="G35" s="23">
        <f t="shared" si="44"/>
        <v>123411.17527618069</v>
      </c>
      <c r="H35" s="23">
        <f t="shared" si="45"/>
        <v>99.224333267186609</v>
      </c>
      <c r="I35" s="68">
        <f t="shared" si="46"/>
        <v>50.913544882306809</v>
      </c>
      <c r="K35" s="80">
        <v>80</v>
      </c>
      <c r="L35" s="23">
        <f>'1º Baja Frec'!P35</f>
        <v>52.088408739988175</v>
      </c>
      <c r="M35" s="23">
        <f>Datos!H$141</f>
        <v>19.9661818936953</v>
      </c>
      <c r="N35" s="23">
        <f t="shared" si="42"/>
        <v>32.122226846292875</v>
      </c>
      <c r="O35" s="23">
        <f t="shared" si="47"/>
        <v>52.088408739988175</v>
      </c>
      <c r="P35" s="23">
        <f t="shared" si="48"/>
        <v>161748.72798433702</v>
      </c>
      <c r="Q35" s="23">
        <f t="shared" si="49"/>
        <v>99.224333267186609</v>
      </c>
      <c r="R35" s="68">
        <f t="shared" si="50"/>
        <v>52.088408739988175</v>
      </c>
    </row>
  </sheetData>
  <mergeCells count="20">
    <mergeCell ref="B30:I30"/>
    <mergeCell ref="K30:R30"/>
    <mergeCell ref="B31:I31"/>
    <mergeCell ref="K31:R31"/>
    <mergeCell ref="B2:I2"/>
    <mergeCell ref="K2:R2"/>
    <mergeCell ref="K10:R10"/>
    <mergeCell ref="K17:R17"/>
    <mergeCell ref="K24:R24"/>
    <mergeCell ref="B9:I9"/>
    <mergeCell ref="B16:I16"/>
    <mergeCell ref="B23:I23"/>
    <mergeCell ref="K23:R23"/>
    <mergeCell ref="K16:R16"/>
    <mergeCell ref="B3:I3"/>
    <mergeCell ref="B10:I10"/>
    <mergeCell ref="B17:I17"/>
    <mergeCell ref="B24:I24"/>
    <mergeCell ref="K3:R3"/>
    <mergeCell ref="K9:R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967-9536-424B-883B-29E6B205937C}">
  <dimension ref="A2:T35"/>
  <sheetViews>
    <sheetView showGridLines="0" zoomScaleNormal="110" workbookViewId="0">
      <selection activeCell="V43" sqref="V43"/>
    </sheetView>
  </sheetViews>
  <sheetFormatPr baseColWidth="10" defaultRowHeight="16" x14ac:dyDescent="0.2"/>
  <cols>
    <col min="8" max="8" width="12.83203125" customWidth="1"/>
    <col min="10" max="10" width="12.83203125" customWidth="1"/>
    <col min="11" max="11" width="3" customWidth="1"/>
    <col min="18" max="18" width="12.83203125" customWidth="1"/>
    <col min="20" max="20" width="12.83203125" customWidth="1"/>
  </cols>
  <sheetData>
    <row r="2" spans="1:20" x14ac:dyDescent="0.2">
      <c r="B2" s="175" t="s">
        <v>42</v>
      </c>
      <c r="C2" s="176"/>
      <c r="D2" s="176"/>
      <c r="E2" s="176"/>
      <c r="F2" s="176"/>
      <c r="G2" s="176"/>
      <c r="H2" s="176"/>
      <c r="I2" s="176"/>
      <c r="J2" s="177"/>
      <c r="K2" s="46"/>
      <c r="L2" s="175" t="s">
        <v>42</v>
      </c>
      <c r="M2" s="176"/>
      <c r="N2" s="176"/>
      <c r="O2" s="176"/>
      <c r="P2" s="176"/>
      <c r="Q2" s="176"/>
      <c r="R2" s="176"/>
      <c r="S2" s="176"/>
      <c r="T2" s="177"/>
    </row>
    <row r="3" spans="1:20" ht="18" customHeight="1" x14ac:dyDescent="0.2">
      <c r="B3" s="194" t="s">
        <v>25</v>
      </c>
      <c r="C3" s="195"/>
      <c r="D3" s="195"/>
      <c r="E3" s="195"/>
      <c r="F3" s="195"/>
      <c r="G3" s="195"/>
      <c r="H3" s="196"/>
      <c r="I3" s="82"/>
      <c r="J3" s="81">
        <v>9.36</v>
      </c>
      <c r="K3" s="46"/>
      <c r="L3" s="194" t="s">
        <v>28</v>
      </c>
      <c r="M3" s="195"/>
      <c r="N3" s="195"/>
      <c r="O3" s="195"/>
      <c r="P3" s="195"/>
      <c r="Q3" s="195"/>
      <c r="R3" s="196"/>
      <c r="S3" s="82"/>
      <c r="T3" s="81">
        <v>9.36</v>
      </c>
    </row>
    <row r="4" spans="1:20" ht="35" customHeight="1" x14ac:dyDescent="0.2">
      <c r="B4" s="9"/>
      <c r="C4" s="11"/>
      <c r="D4" s="21"/>
      <c r="E4" s="21"/>
      <c r="F4" s="25"/>
      <c r="G4" s="21"/>
      <c r="H4" s="26"/>
      <c r="I4" s="21"/>
      <c r="J4" s="26"/>
      <c r="K4" s="27"/>
      <c r="L4" s="9"/>
      <c r="M4" s="11"/>
      <c r="N4" s="21"/>
      <c r="O4" s="21"/>
      <c r="P4" s="25"/>
      <c r="Q4" s="21"/>
      <c r="R4" s="26"/>
      <c r="S4" s="21"/>
      <c r="T4" s="26"/>
    </row>
    <row r="5" spans="1:20" x14ac:dyDescent="0.2">
      <c r="A5" s="39">
        <f>LOG10(B5)</f>
        <v>1.6989700043360187</v>
      </c>
      <c r="B5" s="13">
        <v>50</v>
      </c>
      <c r="C5" s="33">
        <f>'2º Baja Frec'!I5</f>
        <v>63.857518375908377</v>
      </c>
      <c r="D5" s="33">
        <f>'1º Alta Frec'!M136</f>
        <v>82.132292621429713</v>
      </c>
      <c r="E5" s="33">
        <f>D5-C5</f>
        <v>18.274774245521336</v>
      </c>
      <c r="F5" s="18">
        <f>Datos!D165</f>
        <v>1.29</v>
      </c>
      <c r="G5" s="33">
        <v>0.5</v>
      </c>
      <c r="H5" s="14">
        <f>E5+(10*LOG10(F5/G5))</f>
        <v>22.390971305153638</v>
      </c>
      <c r="I5" s="31">
        <f>(0.16*4.5*2.08*2.5)/F5</f>
        <v>2.902325581395349</v>
      </c>
      <c r="J5" s="14">
        <f>E5+10*LOG10($J$3/I5)</f>
        <v>23.3600714352342</v>
      </c>
      <c r="K5" s="2"/>
      <c r="L5" s="13">
        <v>50</v>
      </c>
      <c r="M5" s="33">
        <f>'2º Baja Frec'!R5</f>
        <v>60.365043943658783</v>
      </c>
      <c r="N5" s="33">
        <f>'1º Alta Frec'!V136</f>
        <v>82.031487789706134</v>
      </c>
      <c r="O5" s="33">
        <f>N5-M5</f>
        <v>21.666443846047351</v>
      </c>
      <c r="P5" s="18">
        <f>Datos!D165</f>
        <v>1.29</v>
      </c>
      <c r="Q5" s="33">
        <v>0.5</v>
      </c>
      <c r="R5" s="14">
        <f>O5+(10*LOG10(P5/Q5))</f>
        <v>25.782640905679653</v>
      </c>
      <c r="S5" s="31">
        <f>(0.16*4.5*2.08*2.5)/P5</f>
        <v>2.902325581395349</v>
      </c>
      <c r="T5" s="14">
        <f>O5+10*LOG10($T$3/S5)</f>
        <v>26.751741035760215</v>
      </c>
    </row>
    <row r="6" spans="1:20" x14ac:dyDescent="0.2">
      <c r="A6" s="39">
        <f t="shared" ref="A6:A7" si="0">LOG10(B6)</f>
        <v>1.7993405494535817</v>
      </c>
      <c r="B6" s="13">
        <v>63</v>
      </c>
      <c r="C6" s="33">
        <f>'2º Baja Frec'!I6</f>
        <v>60.413206260264793</v>
      </c>
      <c r="D6" s="33">
        <f>'1º Alta Frec'!M137</f>
        <v>88.310856956242446</v>
      </c>
      <c r="E6" s="33">
        <f t="shared" ref="E6:E7" si="1">D6-C6</f>
        <v>27.897650695977653</v>
      </c>
      <c r="F6" s="18">
        <f>Datos!D166</f>
        <v>0.53</v>
      </c>
      <c r="G6" s="33">
        <v>0.5</v>
      </c>
      <c r="H6" s="14">
        <f>E6+(10*LOG10(F6/G6))</f>
        <v>28.150709348625355</v>
      </c>
      <c r="I6" s="31">
        <f t="shared" ref="I6:I7" si="2">(0.16*4.5*2.08*2.5)/F6</f>
        <v>7.0641509433962266</v>
      </c>
      <c r="J6" s="14">
        <f>E6+10*LOG10($J$3/I6)</f>
        <v>29.119809478705918</v>
      </c>
      <c r="K6" s="2"/>
      <c r="L6" s="13">
        <v>63</v>
      </c>
      <c r="M6" s="33">
        <f>'2º Baja Frec'!R6</f>
        <v>66.945173196122752</v>
      </c>
      <c r="N6" s="33">
        <f>'1º Alta Frec'!V137</f>
        <v>84.926320880289765</v>
      </c>
      <c r="O6" s="33">
        <f t="shared" ref="O6:O7" si="3">N6-M6</f>
        <v>17.981147684167013</v>
      </c>
      <c r="P6" s="18">
        <f>Datos!D166</f>
        <v>0.53</v>
      </c>
      <c r="Q6" s="33">
        <v>0.5</v>
      </c>
      <c r="R6" s="14">
        <f t="shared" ref="R6:R7" si="4">O6+(10*LOG10(P6/Q6))</f>
        <v>18.234206336814715</v>
      </c>
      <c r="S6" s="31">
        <f t="shared" ref="S6:S7" si="5">(0.16*4.5*2.08*2.5)/P6</f>
        <v>7.0641509433962266</v>
      </c>
      <c r="T6" s="14">
        <f t="shared" ref="T6:T7" si="6">O6+10*LOG10($T$3/S6)</f>
        <v>19.203306466895278</v>
      </c>
    </row>
    <row r="7" spans="1:20" x14ac:dyDescent="0.2">
      <c r="A7" s="39">
        <f t="shared" si="0"/>
        <v>1.9030899869919435</v>
      </c>
      <c r="B7" s="15">
        <v>80</v>
      </c>
      <c r="C7" s="23">
        <f>'2º Baja Frec'!I7</f>
        <v>66.645237036778468</v>
      </c>
      <c r="D7" s="23">
        <f>'1º Alta Frec'!M138</f>
        <v>91.015487650389446</v>
      </c>
      <c r="E7" s="23">
        <f t="shared" si="1"/>
        <v>24.370250613610978</v>
      </c>
      <c r="F7" s="16">
        <f>Datos!D167</f>
        <v>0.52</v>
      </c>
      <c r="G7" s="23">
        <v>0.5</v>
      </c>
      <c r="H7" s="17">
        <f t="shared" ref="H7" si="7">E7+(10*LOG10(F7/G7))</f>
        <v>24.540584006598781</v>
      </c>
      <c r="I7" s="32">
        <f t="shared" si="2"/>
        <v>7.2</v>
      </c>
      <c r="J7" s="17">
        <f>E7+10*LOG10($J$3/I7)</f>
        <v>25.509684136679343</v>
      </c>
      <c r="K7" s="2"/>
      <c r="L7" s="15">
        <v>80</v>
      </c>
      <c r="M7" s="23">
        <f>'2º Baja Frec'!R7</f>
        <v>62.963739769611507</v>
      </c>
      <c r="N7" s="23">
        <f>'1º Alta Frec'!V138</f>
        <v>92.31282432570346</v>
      </c>
      <c r="O7" s="23">
        <f t="shared" si="3"/>
        <v>29.349084556091952</v>
      </c>
      <c r="P7" s="16">
        <f>Datos!D167</f>
        <v>0.52</v>
      </c>
      <c r="Q7" s="23">
        <v>0.5</v>
      </c>
      <c r="R7" s="17">
        <f t="shared" si="4"/>
        <v>29.519417949079756</v>
      </c>
      <c r="S7" s="32">
        <f t="shared" si="5"/>
        <v>7.2</v>
      </c>
      <c r="T7" s="17">
        <f t="shared" si="6"/>
        <v>30.488518079160318</v>
      </c>
    </row>
    <row r="9" spans="1:20" x14ac:dyDescent="0.2">
      <c r="B9" s="172" t="s">
        <v>43</v>
      </c>
      <c r="C9" s="173"/>
      <c r="D9" s="173"/>
      <c r="E9" s="173"/>
      <c r="F9" s="173"/>
      <c r="G9" s="173"/>
      <c r="H9" s="173"/>
      <c r="I9" s="173"/>
      <c r="J9" s="174"/>
      <c r="K9" s="2"/>
      <c r="L9" s="181" t="s">
        <v>43</v>
      </c>
      <c r="M9" s="182"/>
      <c r="N9" s="182"/>
      <c r="O9" s="182"/>
      <c r="P9" s="182"/>
      <c r="Q9" s="182"/>
      <c r="R9" s="182"/>
      <c r="S9" s="182"/>
      <c r="T9" s="183"/>
    </row>
    <row r="10" spans="1:20" ht="18" customHeight="1" x14ac:dyDescent="0.2">
      <c r="B10" s="162" t="s">
        <v>25</v>
      </c>
      <c r="C10" s="163"/>
      <c r="D10" s="163"/>
      <c r="E10" s="163"/>
      <c r="F10" s="163"/>
      <c r="G10" s="163"/>
      <c r="H10" s="164"/>
      <c r="I10" s="83"/>
      <c r="J10" s="84">
        <f>2.5*2.08</f>
        <v>5.2</v>
      </c>
      <c r="K10" s="2"/>
      <c r="L10" s="162" t="s">
        <v>28</v>
      </c>
      <c r="M10" s="163"/>
      <c r="N10" s="163"/>
      <c r="O10" s="163"/>
      <c r="P10" s="163"/>
      <c r="Q10" s="163"/>
      <c r="R10" s="164"/>
      <c r="S10" s="83"/>
      <c r="T10" s="84">
        <f>2.5*2.08</f>
        <v>5.2</v>
      </c>
    </row>
    <row r="11" spans="1:20" ht="35" customHeight="1" x14ac:dyDescent="0.2">
      <c r="B11" s="9"/>
      <c r="C11" s="11"/>
      <c r="D11" s="21"/>
      <c r="E11" s="21"/>
      <c r="F11" s="25"/>
      <c r="G11" s="21"/>
      <c r="H11" s="26"/>
      <c r="I11" s="21"/>
      <c r="J11" s="26"/>
      <c r="K11" s="27"/>
      <c r="L11" s="9"/>
      <c r="M11" s="11"/>
      <c r="N11" s="21"/>
      <c r="O11" s="21"/>
      <c r="P11" s="25"/>
      <c r="Q11" s="21"/>
      <c r="R11" s="26"/>
      <c r="S11" s="21"/>
      <c r="T11" s="26"/>
    </row>
    <row r="12" spans="1:20" x14ac:dyDescent="0.2">
      <c r="B12" s="13">
        <v>50</v>
      </c>
      <c r="C12" s="33">
        <f>'2º Baja Frec'!I12</f>
        <v>75.393552549721861</v>
      </c>
      <c r="D12" s="33">
        <f>'1º Alta Frec'!M136</f>
        <v>82.132292621429713</v>
      </c>
      <c r="E12" s="33">
        <f>D12-C12</f>
        <v>6.7387400717078521</v>
      </c>
      <c r="F12" s="18">
        <f>Datos!D165</f>
        <v>1.29</v>
      </c>
      <c r="G12" s="33">
        <v>0.5</v>
      </c>
      <c r="H12" s="14">
        <f>E12+(10*LOG10(F12/G12))</f>
        <v>10.854937131340154</v>
      </c>
      <c r="I12" s="31">
        <f>(0.16*4.5*2.08*2.5)/F12</f>
        <v>2.902325581395349</v>
      </c>
      <c r="J12" s="14">
        <f>E12+10*LOG10($J$10/I12)</f>
        <v>9.2713122103876557</v>
      </c>
      <c r="K12" s="2"/>
      <c r="L12" s="13">
        <v>50</v>
      </c>
      <c r="M12" s="33">
        <f>'2º Baja Frec'!R12</f>
        <v>73.807841996636412</v>
      </c>
      <c r="N12" s="33">
        <f>'1º Alta Frec'!V136</f>
        <v>82.031487789706134</v>
      </c>
      <c r="O12" s="33">
        <f>N12-M12</f>
        <v>8.2236457930697213</v>
      </c>
      <c r="P12" s="18">
        <f>Datos!D165</f>
        <v>1.29</v>
      </c>
      <c r="Q12" s="33">
        <v>0.5</v>
      </c>
      <c r="R12" s="14">
        <f>O12+(10*LOG10(P12/Q12))</f>
        <v>12.339842852702024</v>
      </c>
      <c r="S12" s="31">
        <f>(0.16*4.5*2.08*2.5)/P12</f>
        <v>2.902325581395349</v>
      </c>
      <c r="T12" s="14">
        <f>O12+10*LOG10($T$10/S12)</f>
        <v>10.756217931749525</v>
      </c>
    </row>
    <row r="13" spans="1:20" x14ac:dyDescent="0.2">
      <c r="B13" s="13">
        <v>63</v>
      </c>
      <c r="C13" s="33">
        <f>'2º Baja Frec'!I13</f>
        <v>74.548103037305154</v>
      </c>
      <c r="D13" s="33">
        <f>'1º Alta Frec'!M137</f>
        <v>88.310856956242446</v>
      </c>
      <c r="E13" s="33">
        <f t="shared" ref="E13:E14" si="8">D13-C13</f>
        <v>13.762753918937292</v>
      </c>
      <c r="F13" s="18">
        <f>Datos!D166</f>
        <v>0.53</v>
      </c>
      <c r="G13" s="33">
        <v>0.5</v>
      </c>
      <c r="H13" s="14">
        <f t="shared" ref="H13:H14" si="9">E13+(10*LOG10(F13/G13))</f>
        <v>14.015812571584995</v>
      </c>
      <c r="I13" s="31">
        <f t="shared" ref="I13:I14" si="10">(0.16*4.5*2.08*2.5)/F13</f>
        <v>7.0641509433962266</v>
      </c>
      <c r="J13" s="14">
        <f>E13+10*LOG10($J$10/I13)</f>
        <v>12.432187650632498</v>
      </c>
      <c r="K13" s="2"/>
      <c r="L13" s="13">
        <v>63</v>
      </c>
      <c r="M13" s="33">
        <f>'2º Baja Frec'!R13</f>
        <v>67.422541481847077</v>
      </c>
      <c r="N13" s="33">
        <f>'1º Alta Frec'!V137</f>
        <v>84.926320880289765</v>
      </c>
      <c r="O13" s="33">
        <f t="shared" ref="O13:O14" si="11">N13-M13</f>
        <v>17.503779398442688</v>
      </c>
      <c r="P13" s="18">
        <f>Datos!D166</f>
        <v>0.53</v>
      </c>
      <c r="Q13" s="33">
        <v>0.5</v>
      </c>
      <c r="R13" s="14">
        <f t="shared" ref="R13:R14" si="12">O13+(10*LOG10(P13/Q13))</f>
        <v>17.756838051090391</v>
      </c>
      <c r="S13" s="31">
        <f t="shared" ref="S13:S14" si="13">(0.16*4.5*2.08*2.5)/P13</f>
        <v>7.0641509433962266</v>
      </c>
      <c r="T13" s="14">
        <f>O13+10*LOG10($T$10/S13)</f>
        <v>16.173213130137896</v>
      </c>
    </row>
    <row r="14" spans="1:20" x14ac:dyDescent="0.2">
      <c r="B14" s="15">
        <v>80</v>
      </c>
      <c r="C14" s="23">
        <f>'2º Baja Frec'!I14</f>
        <v>89.539981204221448</v>
      </c>
      <c r="D14" s="23">
        <f>'1º Alta Frec'!M138</f>
        <v>91.015487650389446</v>
      </c>
      <c r="E14" s="23">
        <f t="shared" si="8"/>
        <v>1.4755064461679979</v>
      </c>
      <c r="F14" s="16">
        <f>Datos!D167</f>
        <v>0.52</v>
      </c>
      <c r="G14" s="23">
        <v>0.5</v>
      </c>
      <c r="H14" s="17">
        <f t="shared" si="9"/>
        <v>1.6458398391558016</v>
      </c>
      <c r="I14" s="32">
        <f t="shared" si="10"/>
        <v>7.2</v>
      </c>
      <c r="J14" s="17">
        <f>E14+10*LOG10($J$10/I14)</f>
        <v>6.2214918203304714E-2</v>
      </c>
      <c r="K14" s="2"/>
      <c r="L14" s="15">
        <v>80</v>
      </c>
      <c r="M14" s="23">
        <f>'2º Baja Frec'!R14</f>
        <v>81.496703868446261</v>
      </c>
      <c r="N14" s="23">
        <f>'1º Alta Frec'!V138</f>
        <v>92.31282432570346</v>
      </c>
      <c r="O14" s="23">
        <f t="shared" si="11"/>
        <v>10.816120457257199</v>
      </c>
      <c r="P14" s="16">
        <f>Datos!D167</f>
        <v>0.52</v>
      </c>
      <c r="Q14" s="23">
        <v>0.5</v>
      </c>
      <c r="R14" s="17">
        <f t="shared" si="12"/>
        <v>10.986453850245002</v>
      </c>
      <c r="S14" s="32">
        <f t="shared" si="13"/>
        <v>7.2</v>
      </c>
      <c r="T14" s="17">
        <f>O14+10*LOG10($T$10/S14)</f>
        <v>9.4028289292925056</v>
      </c>
    </row>
    <row r="16" spans="1:20" x14ac:dyDescent="0.2">
      <c r="B16" s="172" t="s">
        <v>44</v>
      </c>
      <c r="C16" s="173"/>
      <c r="D16" s="173"/>
      <c r="E16" s="173"/>
      <c r="F16" s="173"/>
      <c r="G16" s="173"/>
      <c r="H16" s="173"/>
      <c r="I16" s="173"/>
      <c r="J16" s="174"/>
      <c r="K16" s="2"/>
      <c r="L16" s="178" t="s">
        <v>44</v>
      </c>
      <c r="M16" s="179"/>
      <c r="N16" s="179"/>
      <c r="O16" s="179"/>
      <c r="P16" s="179"/>
      <c r="Q16" s="179"/>
      <c r="R16" s="179"/>
      <c r="S16" s="179"/>
      <c r="T16" s="180"/>
    </row>
    <row r="17" spans="2:20" ht="18" customHeight="1" x14ac:dyDescent="0.2">
      <c r="B17" s="162" t="s">
        <v>25</v>
      </c>
      <c r="C17" s="163"/>
      <c r="D17" s="163"/>
      <c r="E17" s="163"/>
      <c r="F17" s="163"/>
      <c r="G17" s="163"/>
      <c r="H17" s="164"/>
      <c r="I17" s="85"/>
      <c r="J17" s="84">
        <f>2.5*4.5</f>
        <v>11.25</v>
      </c>
      <c r="K17" s="2"/>
      <c r="L17" s="162" t="s">
        <v>28</v>
      </c>
      <c r="M17" s="163"/>
      <c r="N17" s="163"/>
      <c r="O17" s="163"/>
      <c r="P17" s="163"/>
      <c r="Q17" s="163"/>
      <c r="R17" s="164"/>
      <c r="S17" s="83"/>
      <c r="T17" s="84">
        <f>2.5*4.5</f>
        <v>11.25</v>
      </c>
    </row>
    <row r="18" spans="2:20" ht="35" customHeight="1" x14ac:dyDescent="0.2">
      <c r="B18" s="9"/>
      <c r="C18" s="11"/>
      <c r="D18" s="21"/>
      <c r="E18" s="21"/>
      <c r="F18" s="25"/>
      <c r="G18" s="21"/>
      <c r="H18" s="26"/>
      <c r="I18" s="21"/>
      <c r="J18" s="26"/>
      <c r="K18" s="27"/>
      <c r="L18" s="9"/>
      <c r="M18" s="11"/>
      <c r="N18" s="21"/>
      <c r="O18" s="21"/>
      <c r="P18" s="25"/>
      <c r="Q18" s="21"/>
      <c r="R18" s="26"/>
      <c r="S18" s="21"/>
      <c r="T18" s="26"/>
    </row>
    <row r="19" spans="2:20" x14ac:dyDescent="0.2">
      <c r="B19" s="13">
        <v>50</v>
      </c>
      <c r="C19" s="33">
        <f>'2º Baja Frec'!I19</f>
        <v>67.417951298951678</v>
      </c>
      <c r="D19" s="33">
        <f>'1º Alta Frec'!M136</f>
        <v>82.132292621429713</v>
      </c>
      <c r="E19" s="33">
        <f>D19-C19</f>
        <v>14.714341322478035</v>
      </c>
      <c r="F19" s="18">
        <f>Datos!D165</f>
        <v>1.29</v>
      </c>
      <c r="G19" s="33">
        <v>0.5</v>
      </c>
      <c r="H19" s="14">
        <f>E19+(10*LOG10(F19/G19))</f>
        <v>18.830538382110337</v>
      </c>
      <c r="I19" s="31">
        <f>(0.16*4.5*2.08*2.5)/F19</f>
        <v>2.902325581395349</v>
      </c>
      <c r="J19" s="14">
        <f>E19+10*LOG10($J$17/I19)</f>
        <v>20.598405249283662</v>
      </c>
      <c r="K19" s="2"/>
      <c r="L19" s="13">
        <v>50</v>
      </c>
      <c r="M19" s="33">
        <f>'2º Baja Frec'!R19</f>
        <v>69.385432161328438</v>
      </c>
      <c r="N19" s="33">
        <f>'1º Alta Frec'!V136</f>
        <v>82.031487789706134</v>
      </c>
      <c r="O19" s="33">
        <f>N19-M19</f>
        <v>12.646055628377695</v>
      </c>
      <c r="P19" s="18">
        <f>Datos!D165</f>
        <v>1.29</v>
      </c>
      <c r="Q19" s="33">
        <v>0.5</v>
      </c>
      <c r="R19" s="14">
        <f>O19+(10*LOG10(P19/Q19))</f>
        <v>16.762252688009998</v>
      </c>
      <c r="S19" s="31">
        <f>(0.16*4.5*2.08*2.5)/P19</f>
        <v>2.902325581395349</v>
      </c>
      <c r="T19" s="14">
        <f>O19+10*LOG10($T$17/S19)</f>
        <v>18.530119555183322</v>
      </c>
    </row>
    <row r="20" spans="2:20" x14ac:dyDescent="0.2">
      <c r="B20" s="13">
        <v>63</v>
      </c>
      <c r="C20" s="33">
        <f>'2º Baja Frec'!I20</f>
        <v>66.78880884746016</v>
      </c>
      <c r="D20" s="33">
        <f>'1º Alta Frec'!M137</f>
        <v>88.310856956242446</v>
      </c>
      <c r="E20" s="33">
        <f t="shared" ref="E20:E21" si="14">D20-C20</f>
        <v>21.522048108782286</v>
      </c>
      <c r="F20" s="18">
        <f>Datos!D166</f>
        <v>0.53</v>
      </c>
      <c r="G20" s="33">
        <v>0.5</v>
      </c>
      <c r="H20" s="14">
        <f t="shared" ref="H20:H21" si="15">E20+(10*LOG10(F20/G20))</f>
        <v>21.775106761429988</v>
      </c>
      <c r="I20" s="31">
        <f t="shared" ref="I20:I21" si="16">(0.16*4.5*2.08*2.5)/F20</f>
        <v>7.0641509433962266</v>
      </c>
      <c r="J20" s="14">
        <f>E20+10*LOG10($J$17/I20)</f>
        <v>23.542973628603313</v>
      </c>
      <c r="K20" s="2"/>
      <c r="L20" s="13">
        <v>63</v>
      </c>
      <c r="M20" s="33">
        <f>'2º Baja Frec'!R20</f>
        <v>65.901454878003904</v>
      </c>
      <c r="N20" s="33">
        <f>'1º Alta Frec'!V137</f>
        <v>84.926320880289765</v>
      </c>
      <c r="O20" s="33">
        <f t="shared" ref="O20:O21" si="17">N20-M20</f>
        <v>19.024866002285862</v>
      </c>
      <c r="P20" s="18">
        <f>Datos!D166</f>
        <v>0.53</v>
      </c>
      <c r="Q20" s="33">
        <v>0.5</v>
      </c>
      <c r="R20" s="14">
        <f t="shared" ref="R20:R21" si="18">O20+(10*LOG10(P20/Q20))</f>
        <v>19.277924654933564</v>
      </c>
      <c r="S20" s="31">
        <f t="shared" ref="S20:S21" si="19">(0.16*4.5*2.08*2.5)/P20</f>
        <v>7.0641509433962266</v>
      </c>
      <c r="T20" s="14">
        <f>O20+10*LOG10($T$17/S20)</f>
        <v>21.045791522106889</v>
      </c>
    </row>
    <row r="21" spans="2:20" x14ac:dyDescent="0.2">
      <c r="B21" s="15">
        <v>80</v>
      </c>
      <c r="C21" s="23">
        <f>'2º Baja Frec'!I21</f>
        <v>69.875338498053821</v>
      </c>
      <c r="D21" s="23">
        <f>'1º Alta Frec'!M138</f>
        <v>91.015487650389446</v>
      </c>
      <c r="E21" s="23">
        <f t="shared" si="14"/>
        <v>21.140149152335624</v>
      </c>
      <c r="F21" s="16">
        <f>Datos!D167</f>
        <v>0.52</v>
      </c>
      <c r="G21" s="23">
        <v>0.5</v>
      </c>
      <c r="H21" s="17">
        <f t="shared" si="15"/>
        <v>21.310482545323428</v>
      </c>
      <c r="I21" s="32">
        <f t="shared" si="16"/>
        <v>7.2</v>
      </c>
      <c r="J21" s="17">
        <f>E21+10*LOG10($J$17/I21)</f>
        <v>23.078349412496753</v>
      </c>
      <c r="K21" s="2"/>
      <c r="L21" s="15">
        <v>80</v>
      </c>
      <c r="M21" s="23">
        <f>'2º Baja Frec'!R21</f>
        <v>65.278266582904294</v>
      </c>
      <c r="N21" s="23">
        <f>'1º Alta Frec'!V138</f>
        <v>92.31282432570346</v>
      </c>
      <c r="O21" s="23">
        <f t="shared" si="17"/>
        <v>27.034557742799166</v>
      </c>
      <c r="P21" s="16">
        <f>Datos!D167</f>
        <v>0.52</v>
      </c>
      <c r="Q21" s="23">
        <v>0.5</v>
      </c>
      <c r="R21" s="17">
        <f t="shared" si="18"/>
        <v>27.204891135786969</v>
      </c>
      <c r="S21" s="32">
        <f t="shared" si="19"/>
        <v>7.2</v>
      </c>
      <c r="T21" s="17">
        <f>O21+10*LOG10($T$17/S21)</f>
        <v>28.972758002960294</v>
      </c>
    </row>
    <row r="23" spans="2:20" x14ac:dyDescent="0.2">
      <c r="B23" s="175" t="s">
        <v>45</v>
      </c>
      <c r="C23" s="176"/>
      <c r="D23" s="176"/>
      <c r="E23" s="176"/>
      <c r="F23" s="176"/>
      <c r="G23" s="176"/>
      <c r="H23" s="176"/>
      <c r="I23" s="176"/>
      <c r="J23" s="177"/>
      <c r="K23" s="2"/>
      <c r="L23" s="178" t="s">
        <v>45</v>
      </c>
      <c r="M23" s="179"/>
      <c r="N23" s="179"/>
      <c r="O23" s="179"/>
      <c r="P23" s="179"/>
      <c r="Q23" s="179"/>
      <c r="R23" s="179"/>
      <c r="S23" s="179"/>
      <c r="T23" s="180"/>
    </row>
    <row r="24" spans="2:20" ht="18" customHeight="1" x14ac:dyDescent="0.2">
      <c r="B24" s="162" t="s">
        <v>25</v>
      </c>
      <c r="C24" s="163"/>
      <c r="D24" s="163"/>
      <c r="E24" s="163"/>
      <c r="F24" s="163"/>
      <c r="G24" s="163"/>
      <c r="H24" s="164"/>
      <c r="I24" s="85"/>
      <c r="J24" s="84">
        <f>2.5*4.5</f>
        <v>11.25</v>
      </c>
      <c r="K24" s="2"/>
      <c r="L24" s="162" t="s">
        <v>28</v>
      </c>
      <c r="M24" s="163"/>
      <c r="N24" s="163"/>
      <c r="O24" s="163"/>
      <c r="P24" s="163"/>
      <c r="Q24" s="163"/>
      <c r="R24" s="164"/>
      <c r="S24" s="83"/>
      <c r="T24" s="84">
        <f>2.5*4.5</f>
        <v>11.25</v>
      </c>
    </row>
    <row r="25" spans="2:20" ht="35" customHeight="1" x14ac:dyDescent="0.2">
      <c r="B25" s="9"/>
      <c r="C25" s="11"/>
      <c r="D25" s="21"/>
      <c r="E25" s="21"/>
      <c r="F25" s="25"/>
      <c r="G25" s="21"/>
      <c r="H25" s="26"/>
      <c r="I25" s="21"/>
      <c r="J25" s="26"/>
      <c r="K25" s="27"/>
      <c r="L25" s="9"/>
      <c r="M25" s="11"/>
      <c r="N25" s="21"/>
      <c r="O25" s="21"/>
      <c r="P25" s="25"/>
      <c r="Q25" s="21"/>
      <c r="R25" s="26"/>
      <c r="S25" s="21"/>
      <c r="T25" s="26"/>
    </row>
    <row r="26" spans="2:20" x14ac:dyDescent="0.2">
      <c r="B26" s="13">
        <v>50</v>
      </c>
      <c r="C26" s="33">
        <f>'2º Baja Frec'!I26</f>
        <v>62.185416690603134</v>
      </c>
      <c r="D26" s="33">
        <f>'1º Alta Frec'!M136</f>
        <v>82.132292621429713</v>
      </c>
      <c r="E26" s="33">
        <f>D26-C26</f>
        <v>19.946875930826579</v>
      </c>
      <c r="F26" s="18">
        <f>Datos!D165</f>
        <v>1.29</v>
      </c>
      <c r="G26" s="33">
        <v>0.5</v>
      </c>
      <c r="H26" s="14">
        <f>E26+(10*LOG10(F26/G26))</f>
        <v>24.063072990458881</v>
      </c>
      <c r="I26" s="31">
        <f>(0.16*4.5*2.08*2.5)/F26</f>
        <v>2.902325581395349</v>
      </c>
      <c r="J26" s="14">
        <f>E26+10*LOG10($J$24/I26)</f>
        <v>25.830939857632206</v>
      </c>
      <c r="K26" s="2"/>
      <c r="L26" s="13">
        <v>50</v>
      </c>
      <c r="M26" s="33">
        <f>'2º Baja Frec'!R26</f>
        <v>62.784982248809357</v>
      </c>
      <c r="N26" s="33">
        <f>'1º Alta Frec'!V136</f>
        <v>82.031487789706134</v>
      </c>
      <c r="O26" s="33">
        <f>N26-M26</f>
        <v>19.246505540896777</v>
      </c>
      <c r="P26" s="18">
        <f>Datos!D165</f>
        <v>1.29</v>
      </c>
      <c r="Q26" s="33">
        <v>0.5</v>
      </c>
      <c r="R26" s="14">
        <f>O26+(10*LOG10(P26/Q26))</f>
        <v>23.362702600529079</v>
      </c>
      <c r="S26" s="31">
        <f>(0.16*4.5*2.08*2.5)/P26</f>
        <v>2.902325581395349</v>
      </c>
      <c r="T26" s="14">
        <f>O26+10*LOG10($T$24/S26)</f>
        <v>25.130569467702404</v>
      </c>
    </row>
    <row r="27" spans="2:20" x14ac:dyDescent="0.2">
      <c r="B27" s="13">
        <v>63</v>
      </c>
      <c r="C27" s="33">
        <f>'2º Baja Frec'!I27</f>
        <v>70.660645048225675</v>
      </c>
      <c r="D27" s="33">
        <f>'1º Alta Frec'!M137</f>
        <v>88.310856956242446</v>
      </c>
      <c r="E27" s="33">
        <f t="shared" ref="E27:E28" si="20">D27-C27</f>
        <v>17.650211908016772</v>
      </c>
      <c r="F27" s="18">
        <f>Datos!D166</f>
        <v>0.53</v>
      </c>
      <c r="G27" s="33">
        <v>0.5</v>
      </c>
      <c r="H27" s="14">
        <f t="shared" ref="H27:H28" si="21">E27+(10*LOG10(F27/G27))</f>
        <v>17.903270560664474</v>
      </c>
      <c r="I27" s="31">
        <f t="shared" ref="I27:I28" si="22">(0.16*4.5*2.08*2.5)/F27</f>
        <v>7.0641509433962266</v>
      </c>
      <c r="J27" s="14">
        <f>E27+10*LOG10($J$24/I27)</f>
        <v>19.671137427837799</v>
      </c>
      <c r="K27" s="2"/>
      <c r="L27" s="13">
        <v>63</v>
      </c>
      <c r="M27" s="33">
        <f>'2º Baja Frec'!R27</f>
        <v>63.374276233575671</v>
      </c>
      <c r="N27" s="33">
        <f>'1º Alta Frec'!V137</f>
        <v>84.926320880289765</v>
      </c>
      <c r="O27" s="33">
        <f t="shared" ref="O27:O28" si="23">N27-M27</f>
        <v>21.552044646714094</v>
      </c>
      <c r="P27" s="18">
        <f>Datos!D166</f>
        <v>0.53</v>
      </c>
      <c r="Q27" s="33">
        <v>0.5</v>
      </c>
      <c r="R27" s="14">
        <f>O27+(10*LOG10(P27/Q27))</f>
        <v>21.805103299361797</v>
      </c>
      <c r="S27" s="31">
        <f t="shared" ref="S27:S28" si="24">(0.16*4.5*2.08*2.5)/P27</f>
        <v>7.0641509433962266</v>
      </c>
      <c r="T27" s="14">
        <f>O27+10*LOG10($T$24/S27)</f>
        <v>23.572970166535121</v>
      </c>
    </row>
    <row r="28" spans="2:20" x14ac:dyDescent="0.2">
      <c r="B28" s="15">
        <v>80</v>
      </c>
      <c r="C28" s="23">
        <f>'2º Baja Frec'!I28</f>
        <v>69.906358256061793</v>
      </c>
      <c r="D28" s="23">
        <f>'1º Alta Frec'!M138</f>
        <v>91.015487650389446</v>
      </c>
      <c r="E28" s="23">
        <f t="shared" si="20"/>
        <v>21.109129394327653</v>
      </c>
      <c r="F28" s="16">
        <f>Datos!D167</f>
        <v>0.52</v>
      </c>
      <c r="G28" s="23">
        <v>0.5</v>
      </c>
      <c r="H28" s="17">
        <f t="shared" si="21"/>
        <v>21.279462787315456</v>
      </c>
      <c r="I28" s="32">
        <f t="shared" si="22"/>
        <v>7.2</v>
      </c>
      <c r="J28" s="17">
        <f>E28+10*LOG10($J$24/I28)</f>
        <v>23.047329654488781</v>
      </c>
      <c r="K28" s="2"/>
      <c r="L28" s="15">
        <v>80</v>
      </c>
      <c r="M28" s="23">
        <f>'2º Baja Frec'!R28</f>
        <v>70.502081260792878</v>
      </c>
      <c r="N28" s="23">
        <f>'1º Alta Frec'!V138</f>
        <v>92.31282432570346</v>
      </c>
      <c r="O28" s="23">
        <f t="shared" si="23"/>
        <v>21.810743064910582</v>
      </c>
      <c r="P28" s="16">
        <f>Datos!D167</f>
        <v>0.52</v>
      </c>
      <c r="Q28" s="23">
        <v>0.5</v>
      </c>
      <c r="R28" s="17">
        <f t="shared" ref="R28" si="25">O28+(10*LOG10(P28/Q28))</f>
        <v>21.981076457898386</v>
      </c>
      <c r="S28" s="32">
        <f t="shared" si="24"/>
        <v>7.2</v>
      </c>
      <c r="T28" s="17">
        <f>O28+10*LOG10($T$24/S28)</f>
        <v>23.748943325071711</v>
      </c>
    </row>
    <row r="30" spans="2:20" x14ac:dyDescent="0.2">
      <c r="B30" s="178" t="s">
        <v>46</v>
      </c>
      <c r="C30" s="179"/>
      <c r="D30" s="179"/>
      <c r="E30" s="179"/>
      <c r="F30" s="179"/>
      <c r="G30" s="179"/>
      <c r="H30" s="179"/>
      <c r="I30" s="179"/>
      <c r="J30" s="180"/>
      <c r="K30" s="2"/>
      <c r="L30" s="178" t="s">
        <v>46</v>
      </c>
      <c r="M30" s="179"/>
      <c r="N30" s="179"/>
      <c r="O30" s="179"/>
      <c r="P30" s="179"/>
      <c r="Q30" s="179"/>
      <c r="R30" s="179"/>
      <c r="S30" s="179"/>
      <c r="T30" s="180"/>
    </row>
    <row r="31" spans="2:20" ht="18" customHeight="1" x14ac:dyDescent="0.2">
      <c r="B31" s="162" t="s">
        <v>25</v>
      </c>
      <c r="C31" s="163"/>
      <c r="D31" s="163"/>
      <c r="E31" s="163"/>
      <c r="F31" s="163"/>
      <c r="G31" s="163"/>
      <c r="H31" s="164"/>
      <c r="I31" s="83"/>
      <c r="J31" s="84">
        <f>2.08*4.5</f>
        <v>9.36</v>
      </c>
      <c r="K31" s="2"/>
      <c r="L31" s="162" t="s">
        <v>28</v>
      </c>
      <c r="M31" s="163"/>
      <c r="N31" s="163"/>
      <c r="O31" s="163"/>
      <c r="P31" s="163"/>
      <c r="Q31" s="163"/>
      <c r="R31" s="164"/>
      <c r="S31" s="83"/>
      <c r="T31" s="84">
        <f>2.08*4.5</f>
        <v>9.36</v>
      </c>
    </row>
    <row r="32" spans="2:20" ht="35" customHeight="1" x14ac:dyDescent="0.2">
      <c r="B32" s="9"/>
      <c r="C32" s="11"/>
      <c r="D32" s="21"/>
      <c r="E32" s="21"/>
      <c r="F32" s="25"/>
      <c r="G32" s="21"/>
      <c r="H32" s="26"/>
      <c r="I32" s="21"/>
      <c r="J32" s="26"/>
      <c r="K32" s="27"/>
      <c r="L32" s="9"/>
      <c r="M32" s="11"/>
      <c r="N32" s="21"/>
      <c r="O32" s="21"/>
      <c r="P32" s="25"/>
      <c r="Q32" s="21"/>
      <c r="R32" s="26"/>
      <c r="S32" s="21"/>
      <c r="T32" s="26"/>
    </row>
    <row r="33" spans="2:20" x14ac:dyDescent="0.2">
      <c r="B33" s="13">
        <v>50</v>
      </c>
      <c r="C33" s="33">
        <f>'2º Baja Frec'!I33</f>
        <v>53.026144078100131</v>
      </c>
      <c r="D33" s="33">
        <f>'1º Alta Frec'!M136</f>
        <v>82.132292621429713</v>
      </c>
      <c r="E33" s="33">
        <f>D33-C33</f>
        <v>29.106148543329581</v>
      </c>
      <c r="F33" s="18">
        <f>Datos!D165</f>
        <v>1.29</v>
      </c>
      <c r="G33" s="33">
        <v>0.5</v>
      </c>
      <c r="H33" s="14">
        <f>E33+(10*LOG10(F33/G33))</f>
        <v>33.22234560296188</v>
      </c>
      <c r="I33" s="31">
        <f>(0.16*4.5*2.08*2.5)/F33</f>
        <v>2.902325581395349</v>
      </c>
      <c r="J33" s="14">
        <f>E33+10*LOG10($J$31/I33)</f>
        <v>34.191445733042443</v>
      </c>
      <c r="K33" s="2"/>
      <c r="L33" s="13">
        <v>50</v>
      </c>
      <c r="M33" s="33">
        <f>'2º Baja Frec'!R33</f>
        <v>52.390220170457134</v>
      </c>
      <c r="N33" s="33">
        <f>'1º Alta Frec'!V136</f>
        <v>82.031487789706134</v>
      </c>
      <c r="O33" s="33">
        <f>N33-M33</f>
        <v>29.641267619249</v>
      </c>
      <c r="P33" s="18">
        <f>Datos!D165</f>
        <v>1.29</v>
      </c>
      <c r="Q33" s="33">
        <v>0.5</v>
      </c>
      <c r="R33" s="14">
        <f>O33+(10*LOG10(P33/Q33))</f>
        <v>33.757464678881298</v>
      </c>
      <c r="S33" s="31">
        <f>(0.16*4.5*2.08*2.5)/P33</f>
        <v>2.902325581395349</v>
      </c>
      <c r="T33" s="14">
        <f>O33+10*LOG10($T$31/S33)</f>
        <v>34.726564808961868</v>
      </c>
    </row>
    <row r="34" spans="2:20" x14ac:dyDescent="0.2">
      <c r="B34" s="13">
        <v>63</v>
      </c>
      <c r="C34" s="33">
        <f>'2º Baja Frec'!I34</f>
        <v>41.794596953326753</v>
      </c>
      <c r="D34" s="33">
        <f>'1º Alta Frec'!M137</f>
        <v>88.310856956242446</v>
      </c>
      <c r="E34" s="33">
        <f t="shared" ref="E34:E35" si="26">D34-C34</f>
        <v>46.516260002915693</v>
      </c>
      <c r="F34" s="18">
        <f>Datos!D166</f>
        <v>0.53</v>
      </c>
      <c r="G34" s="33">
        <v>0.5</v>
      </c>
      <c r="H34" s="14">
        <f t="shared" ref="H34:H35" si="27">E34+(10*LOG10(F34/G34))</f>
        <v>46.769318655563396</v>
      </c>
      <c r="I34" s="31">
        <f t="shared" ref="I34:I35" si="28">(0.16*4.5*2.08*2.5)/F34</f>
        <v>7.0641509433962266</v>
      </c>
      <c r="J34" s="14">
        <f>E34+10*LOG10($J$31/I34)</f>
        <v>47.738418785643958</v>
      </c>
      <c r="K34" s="2"/>
      <c r="L34" s="13">
        <v>63</v>
      </c>
      <c r="M34" s="33">
        <f>'2º Baja Frec'!R34</f>
        <v>47.857871230641777</v>
      </c>
      <c r="N34" s="33">
        <f>'1º Alta Frec'!V137</f>
        <v>84.926320880289765</v>
      </c>
      <c r="O34" s="33">
        <f t="shared" ref="O34:O35" si="29">N34-M34</f>
        <v>37.068449649647988</v>
      </c>
      <c r="P34" s="18">
        <f>Datos!D166</f>
        <v>0.53</v>
      </c>
      <c r="Q34" s="33">
        <v>0.5</v>
      </c>
      <c r="R34" s="14">
        <f t="shared" ref="R34:R35" si="30">O34+(10*LOG10(P34/Q34))</f>
        <v>37.32150830229569</v>
      </c>
      <c r="S34" s="31">
        <f t="shared" ref="S34:S35" si="31">(0.16*4.5*2.08*2.5)/P34</f>
        <v>7.0641509433962266</v>
      </c>
      <c r="T34" s="14">
        <f>O34+10*LOG10($T$31/S34)</f>
        <v>38.290608432376253</v>
      </c>
    </row>
    <row r="35" spans="2:20" x14ac:dyDescent="0.2">
      <c r="B35" s="15">
        <v>80</v>
      </c>
      <c r="C35" s="23">
        <f>'2º Baja Frec'!I35</f>
        <v>50.913544882306809</v>
      </c>
      <c r="D35" s="23">
        <f>'1º Alta Frec'!M138</f>
        <v>91.015487650389446</v>
      </c>
      <c r="E35" s="23">
        <f t="shared" si="26"/>
        <v>40.101942768082637</v>
      </c>
      <c r="F35" s="16">
        <f>Datos!D167</f>
        <v>0.52</v>
      </c>
      <c r="G35" s="23">
        <v>0.5</v>
      </c>
      <c r="H35" s="17">
        <f t="shared" si="27"/>
        <v>40.272276161070444</v>
      </c>
      <c r="I35" s="32">
        <f t="shared" si="28"/>
        <v>7.2</v>
      </c>
      <c r="J35" s="17">
        <f>E35+10*LOG10($J$31/I35)</f>
        <v>41.241376291151006</v>
      </c>
      <c r="K35" s="2"/>
      <c r="L35" s="15">
        <v>80</v>
      </c>
      <c r="M35" s="23">
        <f>'2º Baja Frec'!R35</f>
        <v>52.088408739988175</v>
      </c>
      <c r="N35" s="23">
        <f>'1º Alta Frec'!V138</f>
        <v>92.31282432570346</v>
      </c>
      <c r="O35" s="23">
        <f t="shared" si="29"/>
        <v>40.224415585715285</v>
      </c>
      <c r="P35" s="16">
        <f>Datos!D167</f>
        <v>0.52</v>
      </c>
      <c r="Q35" s="23">
        <v>0.5</v>
      </c>
      <c r="R35" s="17">
        <f t="shared" si="30"/>
        <v>40.394748978703092</v>
      </c>
      <c r="S35" s="32">
        <f t="shared" si="31"/>
        <v>7.2</v>
      </c>
      <c r="T35" s="17">
        <f>O35+10*LOG10($T$31/S35)</f>
        <v>41.363849108783654</v>
      </c>
    </row>
  </sheetData>
  <mergeCells count="20">
    <mergeCell ref="B31:H31"/>
    <mergeCell ref="L31:R31"/>
    <mergeCell ref="B24:H24"/>
    <mergeCell ref="L24:R24"/>
    <mergeCell ref="L30:T30"/>
    <mergeCell ref="L23:T23"/>
    <mergeCell ref="B23:J23"/>
    <mergeCell ref="B30:J30"/>
    <mergeCell ref="B10:H10"/>
    <mergeCell ref="L10:R10"/>
    <mergeCell ref="B17:H17"/>
    <mergeCell ref="L17:R17"/>
    <mergeCell ref="L16:T16"/>
    <mergeCell ref="B16:J16"/>
    <mergeCell ref="B3:H3"/>
    <mergeCell ref="L3:R3"/>
    <mergeCell ref="B2:J2"/>
    <mergeCell ref="L2:T2"/>
    <mergeCell ref="L9:T9"/>
    <mergeCell ref="B9:J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604D-9AE6-8844-B601-CE2D95685D91}">
  <dimension ref="B2:R30"/>
  <sheetViews>
    <sheetView showGridLines="0" zoomScale="107" zoomScaleNormal="110" workbookViewId="0">
      <selection activeCell="K25" sqref="K25"/>
    </sheetView>
  </sheetViews>
  <sheetFormatPr baseColWidth="10" defaultRowHeight="16" x14ac:dyDescent="0.2"/>
  <cols>
    <col min="7" max="7" width="3" customWidth="1"/>
    <col min="13" max="13" width="3" customWidth="1"/>
  </cols>
  <sheetData>
    <row r="2" spans="2:18" x14ac:dyDescent="0.2">
      <c r="B2" s="172" t="s">
        <v>42</v>
      </c>
      <c r="C2" s="173"/>
      <c r="D2" s="173"/>
      <c r="E2" s="173"/>
      <c r="F2" s="174"/>
      <c r="H2" s="172" t="s">
        <v>43</v>
      </c>
      <c r="I2" s="173"/>
      <c r="J2" s="173"/>
      <c r="K2" s="173"/>
      <c r="L2" s="174"/>
      <c r="N2" s="172" t="s">
        <v>44</v>
      </c>
      <c r="O2" s="173"/>
      <c r="P2" s="173"/>
      <c r="Q2" s="173"/>
      <c r="R2" s="174"/>
    </row>
    <row r="3" spans="2:18" ht="25" customHeight="1" x14ac:dyDescent="0.2">
      <c r="B3" s="28"/>
      <c r="C3" s="29"/>
      <c r="D3" s="29"/>
      <c r="E3" s="29"/>
      <c r="F3" s="30"/>
      <c r="H3" s="28"/>
      <c r="I3" s="29"/>
      <c r="J3" s="29"/>
      <c r="K3" s="29"/>
      <c r="L3" s="30"/>
      <c r="N3" s="28"/>
      <c r="O3" s="29"/>
      <c r="P3" s="29"/>
      <c r="Q3" s="29"/>
      <c r="R3" s="30"/>
    </row>
    <row r="4" spans="2:18" x14ac:dyDescent="0.2">
      <c r="B4" s="13">
        <v>50</v>
      </c>
      <c r="C4" s="33">
        <f>'3º Baja Frec'!H5</f>
        <v>22.390971305153638</v>
      </c>
      <c r="D4" s="33">
        <f>'3º Baja Frec'!R5</f>
        <v>25.782640905679653</v>
      </c>
      <c r="E4" s="34">
        <f t="shared" ref="E4:E6" si="0">COUNT(C4:D4)</f>
        <v>2</v>
      </c>
      <c r="F4" s="14">
        <f>-10*LOG10((10^(-C4/10)+10^(-D4/10))/E4)</f>
        <v>23.763797916688056</v>
      </c>
      <c r="H4" s="13">
        <v>50</v>
      </c>
      <c r="I4" s="33">
        <f>'3º Baja Frec'!H12</f>
        <v>10.854937131340154</v>
      </c>
      <c r="J4" s="33">
        <f>'3º Baja Frec'!R12</f>
        <v>12.339842852702024</v>
      </c>
      <c r="K4" s="34">
        <f t="shared" ref="K4:K6" si="1">COUNT(I4:J4)</f>
        <v>2</v>
      </c>
      <c r="L4" s="14">
        <f>-10*LOG10((10^(-I4/10)+10^(-J4/10))/K4)</f>
        <v>11.534233315470061</v>
      </c>
      <c r="N4" s="13">
        <v>50</v>
      </c>
      <c r="O4" s="33">
        <f>'3º Baja Frec'!H19</f>
        <v>18.830538382110337</v>
      </c>
      <c r="P4" s="33">
        <f>'3º Baja Frec'!R19</f>
        <v>16.762252688009998</v>
      </c>
      <c r="Q4" s="34">
        <f t="shared" ref="Q4:Q6" si="2">COUNT(O4:P4)</f>
        <v>2</v>
      </c>
      <c r="R4" s="14">
        <f t="shared" ref="R4:R6" si="3">-10*LOG10((10^(-O4/10)+10^(-P4/10))/Q4)</f>
        <v>17.674416651022405</v>
      </c>
    </row>
    <row r="5" spans="2:18" x14ac:dyDescent="0.2">
      <c r="B5" s="13">
        <v>63</v>
      </c>
      <c r="C5" s="33">
        <f>'3º Baja Frec'!H6</f>
        <v>28.150709348625355</v>
      </c>
      <c r="D5" s="33">
        <f>'3º Baja Frec'!R6</f>
        <v>18.234206336814715</v>
      </c>
      <c r="E5" s="34">
        <f t="shared" si="0"/>
        <v>2</v>
      </c>
      <c r="F5" s="14">
        <f>-10*LOG10((10^(-C5/10)+10^(-D5/10))/E5)</f>
        <v>20.822922122850898</v>
      </c>
      <c r="H5" s="13">
        <v>63</v>
      </c>
      <c r="I5" s="33">
        <f>'3º Baja Frec'!H13</f>
        <v>14.015812571584995</v>
      </c>
      <c r="J5" s="33">
        <f>'3º Baja Frec'!R13</f>
        <v>17.756838051090391</v>
      </c>
      <c r="K5" s="34">
        <f t="shared" si="1"/>
        <v>2</v>
      </c>
      <c r="L5" s="14">
        <f>-10*LOG10((10^(-I5/10)+10^(-J5/10))/K5)</f>
        <v>15.495379662693821</v>
      </c>
      <c r="N5" s="13">
        <v>63</v>
      </c>
      <c r="O5" s="33">
        <f>'3º Baja Frec'!H20</f>
        <v>21.775106761429988</v>
      </c>
      <c r="P5" s="33">
        <f>'3º Baja Frec'!R20</f>
        <v>19.277924654933564</v>
      </c>
      <c r="Q5" s="34">
        <f t="shared" si="2"/>
        <v>2</v>
      </c>
      <c r="R5" s="14">
        <f t="shared" si="3"/>
        <v>20.349450938887411</v>
      </c>
    </row>
    <row r="6" spans="2:18" x14ac:dyDescent="0.2">
      <c r="B6" s="15">
        <v>80</v>
      </c>
      <c r="C6" s="23">
        <f>'3º Baja Frec'!H7</f>
        <v>24.540584006598781</v>
      </c>
      <c r="D6" s="23">
        <f>'3º Baja Frec'!R7</f>
        <v>29.519417949079756</v>
      </c>
      <c r="E6" s="24">
        <f t="shared" si="0"/>
        <v>2</v>
      </c>
      <c r="F6" s="17">
        <f>-10*LOG10((10^(-C6/10)+10^(-D6/10))/E6)</f>
        <v>26.352478849628135</v>
      </c>
      <c r="H6" s="15">
        <v>80</v>
      </c>
      <c r="I6" s="23">
        <f>'3º Baja Frec'!H14</f>
        <v>1.6458398391558016</v>
      </c>
      <c r="J6" s="23">
        <f>'3º Baja Frec'!R14</f>
        <v>10.986453850245002</v>
      </c>
      <c r="K6" s="24">
        <f t="shared" si="1"/>
        <v>2</v>
      </c>
      <c r="L6" s="17">
        <f>-10*LOG10((10^(-I6/10)+10^(-J6/10))/K6)</f>
        <v>4.1779565120114972</v>
      </c>
      <c r="N6" s="15">
        <v>80</v>
      </c>
      <c r="O6" s="23">
        <f>'3º Baja Frec'!H21</f>
        <v>21.310482545323428</v>
      </c>
      <c r="P6" s="23">
        <f>'3º Baja Frec'!R21</f>
        <v>27.204891135786969</v>
      </c>
      <c r="Q6" s="24">
        <f t="shared" si="2"/>
        <v>2</v>
      </c>
      <c r="R6" s="17">
        <f t="shared" si="3"/>
        <v>23.326149066367947</v>
      </c>
    </row>
    <row r="8" spans="2:18" x14ac:dyDescent="0.2">
      <c r="B8" s="172" t="s">
        <v>45</v>
      </c>
      <c r="C8" s="173"/>
      <c r="D8" s="173"/>
      <c r="E8" s="173"/>
      <c r="F8" s="174"/>
      <c r="H8" s="172" t="s">
        <v>46</v>
      </c>
      <c r="I8" s="173"/>
      <c r="J8" s="173"/>
      <c r="K8" s="173"/>
      <c r="L8" s="174"/>
    </row>
    <row r="9" spans="2:18" ht="25" customHeight="1" x14ac:dyDescent="0.2">
      <c r="B9" s="28"/>
      <c r="C9" s="29"/>
      <c r="D9" s="29"/>
      <c r="E9" s="29"/>
      <c r="F9" s="30"/>
      <c r="H9" s="28"/>
      <c r="I9" s="29"/>
      <c r="J9" s="29"/>
      <c r="K9" s="29"/>
      <c r="L9" s="30"/>
    </row>
    <row r="10" spans="2:18" x14ac:dyDescent="0.2">
      <c r="B10" s="13">
        <v>50</v>
      </c>
      <c r="C10" s="33">
        <f>'3º Baja Frec'!H26</f>
        <v>24.063072990458881</v>
      </c>
      <c r="D10" s="33">
        <f>'3º Baja Frec'!R26</f>
        <v>23.362702600529079</v>
      </c>
      <c r="E10" s="34">
        <f t="shared" ref="E10:E12" si="4">COUNT(C10:D10)</f>
        <v>2</v>
      </c>
      <c r="F10" s="14">
        <f t="shared" ref="F10:F12" si="5">-10*LOG10((10^(-C10/10)+10^(-D10/10))/E10)</f>
        <v>23.698784805212519</v>
      </c>
      <c r="H10" s="13">
        <v>50</v>
      </c>
      <c r="I10" s="33">
        <f>'3º Baja Frec'!H33</f>
        <v>33.22234560296188</v>
      </c>
      <c r="J10" s="33">
        <f>'3º Baja Frec'!R33</f>
        <v>33.757464678881298</v>
      </c>
      <c r="K10" s="34">
        <f t="shared" ref="K10:K12" si="6">COUNT(I10:J10)</f>
        <v>2</v>
      </c>
      <c r="L10" s="14">
        <f t="shared" ref="L10:L12" si="7">-10*LOG10((10^(-I10/10)+10^(-J10/10))/K10)</f>
        <v>33.481668464042805</v>
      </c>
    </row>
    <row r="11" spans="2:18" x14ac:dyDescent="0.2">
      <c r="B11" s="13">
        <v>63</v>
      </c>
      <c r="C11" s="33">
        <f>'3º Baja Frec'!H27</f>
        <v>17.903270560664474</v>
      </c>
      <c r="D11" s="33">
        <f>'3º Baja Frec'!R27</f>
        <v>21.805103299361797</v>
      </c>
      <c r="E11" s="34">
        <f t="shared" si="4"/>
        <v>2</v>
      </c>
      <c r="F11" s="14">
        <f t="shared" si="5"/>
        <v>19.429986334416803</v>
      </c>
      <c r="H11" s="13">
        <v>63</v>
      </c>
      <c r="I11" s="33">
        <f>'3º Baja Frec'!H34</f>
        <v>46.769318655563396</v>
      </c>
      <c r="J11" s="33">
        <f>'3º Baja Frec'!R34</f>
        <v>37.32150830229569</v>
      </c>
      <c r="K11" s="34">
        <f t="shared" si="6"/>
        <v>2</v>
      </c>
      <c r="L11" s="14">
        <f t="shared" si="7"/>
        <v>39.864678581841495</v>
      </c>
    </row>
    <row r="12" spans="2:18" x14ac:dyDescent="0.2">
      <c r="B12" s="15">
        <v>80</v>
      </c>
      <c r="C12" s="23">
        <f>'3º Baja Frec'!H28</f>
        <v>21.279462787315456</v>
      </c>
      <c r="D12" s="23">
        <f>'3º Baja Frec'!R28</f>
        <v>21.981076457898386</v>
      </c>
      <c r="E12" s="24">
        <f t="shared" si="4"/>
        <v>2</v>
      </c>
      <c r="F12" s="17">
        <f t="shared" si="5"/>
        <v>21.616116571674358</v>
      </c>
      <c r="H12" s="15">
        <v>80</v>
      </c>
      <c r="I12" s="23">
        <f>'3º Baja Frec'!H35</f>
        <v>40.272276161070444</v>
      </c>
      <c r="J12" s="23">
        <f>'3º Baja Frec'!R35</f>
        <v>40.394748978703092</v>
      </c>
      <c r="K12" s="24">
        <f t="shared" si="6"/>
        <v>2</v>
      </c>
      <c r="L12" s="17">
        <f t="shared" si="7"/>
        <v>40.333080861256903</v>
      </c>
    </row>
    <row r="15" spans="2:18" ht="27" customHeight="1" x14ac:dyDescent="0.2"/>
    <row r="23" ht="25" customHeight="1" x14ac:dyDescent="0.2"/>
    <row r="30" ht="25" customHeight="1" x14ac:dyDescent="0.2"/>
  </sheetData>
  <mergeCells count="5">
    <mergeCell ref="B2:F2"/>
    <mergeCell ref="H2:L2"/>
    <mergeCell ref="N2:R2"/>
    <mergeCell ref="B8:F8"/>
    <mergeCell ref="H8:L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C339-DD40-3E44-B6FB-F94ACE7E9181}">
  <dimension ref="B2:R15"/>
  <sheetViews>
    <sheetView showGridLines="0" zoomScaleNormal="110" workbookViewId="0">
      <selection activeCell="S34" sqref="S34"/>
    </sheetView>
  </sheetViews>
  <sheetFormatPr baseColWidth="10" defaultRowHeight="16" x14ac:dyDescent="0.2"/>
  <cols>
    <col min="7" max="7" width="4" customWidth="1"/>
  </cols>
  <sheetData>
    <row r="2" spans="2:18" x14ac:dyDescent="0.2">
      <c r="B2" s="172" t="s">
        <v>42</v>
      </c>
      <c r="C2" s="173"/>
      <c r="D2" s="173"/>
      <c r="E2" s="173"/>
      <c r="F2" s="174"/>
      <c r="H2" s="172" t="s">
        <v>43</v>
      </c>
      <c r="I2" s="173"/>
      <c r="J2" s="173"/>
      <c r="K2" s="173"/>
      <c r="L2" s="174"/>
      <c r="N2" s="172" t="s">
        <v>44</v>
      </c>
      <c r="O2" s="173"/>
      <c r="P2" s="173"/>
      <c r="Q2" s="173"/>
      <c r="R2" s="174"/>
    </row>
    <row r="3" spans="2:18" ht="25" customHeight="1" x14ac:dyDescent="0.2">
      <c r="B3" s="28"/>
      <c r="C3" s="29"/>
      <c r="D3" s="29"/>
      <c r="E3" s="29" t="s">
        <v>50</v>
      </c>
      <c r="F3" s="30"/>
      <c r="H3" s="28"/>
      <c r="I3" s="29"/>
      <c r="J3" s="29"/>
      <c r="K3" s="29" t="s">
        <v>50</v>
      </c>
      <c r="L3" s="30"/>
      <c r="N3" s="28"/>
      <c r="O3" s="29"/>
      <c r="P3" s="29"/>
      <c r="Q3" s="29" t="s">
        <v>50</v>
      </c>
      <c r="R3" s="30"/>
    </row>
    <row r="4" spans="2:18" x14ac:dyDescent="0.2">
      <c r="B4" s="13">
        <v>50</v>
      </c>
      <c r="C4" s="33">
        <f>'3º Baja Frec'!J5</f>
        <v>23.3600714352342</v>
      </c>
      <c r="D4" s="33">
        <f>'3º Baja Frec'!T5</f>
        <v>26.751741035760215</v>
      </c>
      <c r="E4" s="34">
        <f t="shared" ref="E4:E6" si="0">COUNT(C4:D4)</f>
        <v>2</v>
      </c>
      <c r="F4" s="14">
        <f>-10*LOG10((10^(-C4/10)+10^(-D4/10))/E4)</f>
        <v>24.732898046768618</v>
      </c>
      <c r="H4" s="13">
        <v>50</v>
      </c>
      <c r="I4" s="33">
        <f>'3º Baja Frec'!J12</f>
        <v>9.2713122103876557</v>
      </c>
      <c r="J4" s="33">
        <f>'3º Baja Frec'!T12</f>
        <v>10.756217931749525</v>
      </c>
      <c r="K4" s="34">
        <f t="shared" ref="K4:K6" si="1">COUNT(I4:J4)</f>
        <v>2</v>
      </c>
      <c r="L4" s="14">
        <f>-10*LOG10((10^(-I4/10)+10^(-J4/10))/K4)</f>
        <v>9.9506083945175625</v>
      </c>
      <c r="N4" s="13">
        <v>50</v>
      </c>
      <c r="O4" s="33">
        <f>'3º Baja Frec'!J19</f>
        <v>20.598405249283662</v>
      </c>
      <c r="P4" s="33">
        <f>'3º Baja Frec'!T19</f>
        <v>18.530119555183322</v>
      </c>
      <c r="Q4" s="34">
        <f t="shared" ref="Q4:Q6" si="2">COUNT(O4:P4)</f>
        <v>2</v>
      </c>
      <c r="R4" s="14">
        <f t="shared" ref="R4:R6" si="3">-10*LOG10((10^(-O4/10)+10^(-P4/10))/Q4)</f>
        <v>19.44228351819573</v>
      </c>
    </row>
    <row r="5" spans="2:18" x14ac:dyDescent="0.2">
      <c r="B5" s="13">
        <v>63</v>
      </c>
      <c r="C5" s="33">
        <f>'3º Baja Frec'!J6</f>
        <v>29.119809478705918</v>
      </c>
      <c r="D5" s="33">
        <f>'3º Baja Frec'!T6</f>
        <v>19.203306466895278</v>
      </c>
      <c r="E5" s="34">
        <f t="shared" si="0"/>
        <v>2</v>
      </c>
      <c r="F5" s="14">
        <f>-10*LOG10((10^(-C5/10)+10^(-D5/10))/E5)</f>
        <v>21.79202225293146</v>
      </c>
      <c r="H5" s="13">
        <v>63</v>
      </c>
      <c r="I5" s="33">
        <f>'3º Baja Frec'!J13</f>
        <v>12.432187650632498</v>
      </c>
      <c r="J5" s="33">
        <f>'3º Baja Frec'!T13</f>
        <v>16.173213130137896</v>
      </c>
      <c r="K5" s="34">
        <f t="shared" si="1"/>
        <v>2</v>
      </c>
      <c r="L5" s="14">
        <f>-10*LOG10((10^(-I5/10)+10^(-J5/10))/K5)</f>
        <v>13.911754741741326</v>
      </c>
      <c r="N5" s="13">
        <v>63</v>
      </c>
      <c r="O5" s="33">
        <f>'3º Baja Frec'!J20</f>
        <v>23.542973628603313</v>
      </c>
      <c r="P5" s="33">
        <f>'3º Baja Frec'!T20</f>
        <v>21.045791522106889</v>
      </c>
      <c r="Q5" s="34">
        <f t="shared" si="2"/>
        <v>2</v>
      </c>
      <c r="R5" s="14">
        <f t="shared" si="3"/>
        <v>22.117317806060733</v>
      </c>
    </row>
    <row r="6" spans="2:18" x14ac:dyDescent="0.2">
      <c r="B6" s="15">
        <v>80</v>
      </c>
      <c r="C6" s="23">
        <f>'3º Baja Frec'!J7</f>
        <v>25.509684136679343</v>
      </c>
      <c r="D6" s="23">
        <f>'3º Baja Frec'!T7</f>
        <v>30.488518079160318</v>
      </c>
      <c r="E6" s="24">
        <f t="shared" si="0"/>
        <v>2</v>
      </c>
      <c r="F6" s="17">
        <f>-10*LOG10((10^(-C6/10)+10^(-D6/10))/E6)</f>
        <v>27.321578979708697</v>
      </c>
      <c r="H6" s="15">
        <v>80</v>
      </c>
      <c r="I6" s="23">
        <f>'3º Baja Frec'!J14</f>
        <v>6.2214918203304714E-2</v>
      </c>
      <c r="J6" s="23">
        <f>'3º Baja Frec'!T14</f>
        <v>9.4028289292925056</v>
      </c>
      <c r="K6" s="24">
        <f t="shared" si="1"/>
        <v>2</v>
      </c>
      <c r="L6" s="17">
        <f>-10*LOG10((10^(-I6/10)+10^(-J6/10))/K6)</f>
        <v>2.5943315910589995</v>
      </c>
      <c r="N6" s="15">
        <v>80</v>
      </c>
      <c r="O6" s="23">
        <f>'3º Baja Frec'!J21</f>
        <v>23.078349412496753</v>
      </c>
      <c r="P6" s="23">
        <f>'3º Baja Frec'!T21</f>
        <v>28.972758002960294</v>
      </c>
      <c r="Q6" s="24">
        <f t="shared" si="2"/>
        <v>2</v>
      </c>
      <c r="R6" s="17">
        <f t="shared" si="3"/>
        <v>25.094015933541272</v>
      </c>
    </row>
    <row r="8" spans="2:18" x14ac:dyDescent="0.2">
      <c r="B8" s="172" t="s">
        <v>45</v>
      </c>
      <c r="C8" s="173"/>
      <c r="D8" s="173"/>
      <c r="E8" s="173"/>
      <c r="F8" s="174"/>
      <c r="H8" s="172" t="s">
        <v>46</v>
      </c>
      <c r="I8" s="173"/>
      <c r="J8" s="173"/>
      <c r="K8" s="173"/>
      <c r="L8" s="174"/>
    </row>
    <row r="9" spans="2:18" ht="25" customHeight="1" x14ac:dyDescent="0.2">
      <c r="B9" s="28"/>
      <c r="C9" s="29"/>
      <c r="D9" s="29"/>
      <c r="E9" s="29" t="s">
        <v>50</v>
      </c>
      <c r="F9" s="30"/>
      <c r="H9" s="28"/>
      <c r="I9" s="29"/>
      <c r="J9" s="29"/>
      <c r="K9" s="29" t="s">
        <v>50</v>
      </c>
      <c r="L9" s="30"/>
    </row>
    <row r="10" spans="2:18" x14ac:dyDescent="0.2">
      <c r="B10" s="13">
        <v>50</v>
      </c>
      <c r="C10" s="33">
        <f>'3º Baja Frec'!J26</f>
        <v>25.830939857632206</v>
      </c>
      <c r="D10" s="33">
        <f>'3º Baja Frec'!T26</f>
        <v>25.130569467702404</v>
      </c>
      <c r="E10" s="34">
        <f t="shared" ref="E10:E12" si="4">COUNT(C10:D10)</f>
        <v>2</v>
      </c>
      <c r="F10" s="14">
        <f t="shared" ref="F10:F12" si="5">-10*LOG10((10^(-C10/10)+10^(-D10/10))/E10)</f>
        <v>25.466651672385847</v>
      </c>
      <c r="H10" s="13">
        <v>50</v>
      </c>
      <c r="I10" s="33">
        <f>'3º Baja Frec'!J33</f>
        <v>34.191445733042443</v>
      </c>
      <c r="J10" s="33">
        <f>'3º Baja Frec'!T33</f>
        <v>34.726564808961868</v>
      </c>
      <c r="K10" s="34">
        <f t="shared" ref="K10:K12" si="6">COUNT(I10:J10)</f>
        <v>2</v>
      </c>
      <c r="L10" s="14">
        <f t="shared" ref="L10:L12" si="7">-10*LOG10((10^(-I10/10)+10^(-J10/10))/K10)</f>
        <v>34.450768594123367</v>
      </c>
    </row>
    <row r="11" spans="2:18" x14ac:dyDescent="0.2">
      <c r="B11" s="13">
        <v>63</v>
      </c>
      <c r="C11" s="33">
        <f>'3º Baja Frec'!J27</f>
        <v>19.671137427837799</v>
      </c>
      <c r="D11" s="33">
        <f>'3º Baja Frec'!T27</f>
        <v>23.572970166535121</v>
      </c>
      <c r="E11" s="34">
        <f t="shared" si="4"/>
        <v>2</v>
      </c>
      <c r="F11" s="14">
        <f t="shared" si="5"/>
        <v>21.197853201590135</v>
      </c>
      <c r="H11" s="13">
        <v>63</v>
      </c>
      <c r="I11" s="33">
        <f>'3º Baja Frec'!J34</f>
        <v>47.738418785643958</v>
      </c>
      <c r="J11" s="33">
        <f>'3º Baja Frec'!T34</f>
        <v>38.290608432376253</v>
      </c>
      <c r="K11" s="34">
        <f t="shared" si="6"/>
        <v>2</v>
      </c>
      <c r="L11" s="14">
        <f t="shared" si="7"/>
        <v>40.833778711922058</v>
      </c>
    </row>
    <row r="12" spans="2:18" x14ac:dyDescent="0.2">
      <c r="B12" s="15">
        <v>80</v>
      </c>
      <c r="C12" s="23">
        <f>'3º Baja Frec'!J28</f>
        <v>23.047329654488781</v>
      </c>
      <c r="D12" s="23">
        <f>'3º Baja Frec'!T28</f>
        <v>23.748943325071711</v>
      </c>
      <c r="E12" s="24">
        <f t="shared" si="4"/>
        <v>2</v>
      </c>
      <c r="F12" s="17">
        <f t="shared" si="5"/>
        <v>23.383983438847686</v>
      </c>
      <c r="H12" s="15">
        <v>80</v>
      </c>
      <c r="I12" s="23">
        <f>'3º Baja Frec'!J35</f>
        <v>41.241376291151006</v>
      </c>
      <c r="J12" s="23">
        <f>'3º Baja Frec'!T35</f>
        <v>41.363849108783654</v>
      </c>
      <c r="K12" s="24">
        <f t="shared" si="6"/>
        <v>2</v>
      </c>
      <c r="L12" s="17">
        <f t="shared" si="7"/>
        <v>41.302180991337458</v>
      </c>
    </row>
    <row r="15" spans="2:18" ht="25" customHeight="1" x14ac:dyDescent="0.2"/>
  </sheetData>
  <mergeCells count="5">
    <mergeCell ref="B2:F2"/>
    <mergeCell ref="H2:L2"/>
    <mergeCell ref="N2:R2"/>
    <mergeCell ref="B8:F8"/>
    <mergeCell ref="H8:L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FF1A-79E4-E44F-81C5-AC8FACFE3196}">
  <dimension ref="B1:Z144"/>
  <sheetViews>
    <sheetView showGridLines="0" topLeftCell="A120" zoomScale="89" workbookViewId="0">
      <selection activeCell="O32" sqref="O32:Z32"/>
    </sheetView>
  </sheetViews>
  <sheetFormatPr baseColWidth="10" defaultRowHeight="16" x14ac:dyDescent="0.2"/>
  <cols>
    <col min="1" max="6" width="10.83203125" style="2"/>
    <col min="7" max="10" width="5.83203125" style="2" customWidth="1"/>
    <col min="11" max="11" width="6.33203125" style="2" customWidth="1"/>
    <col min="12" max="14" width="5.83203125" style="2" customWidth="1"/>
    <col min="15" max="15" width="9.1640625" style="2" customWidth="1"/>
    <col min="16" max="16" width="7.33203125" style="2" customWidth="1"/>
    <col min="17" max="17" width="15.33203125" style="2" customWidth="1"/>
    <col min="18" max="18" width="9.1640625" style="2" customWidth="1"/>
    <col min="19" max="19" width="7.33203125" style="2" customWidth="1"/>
    <col min="20" max="20" width="15.33203125" style="2" customWidth="1"/>
    <col min="21" max="21" width="9.1640625" style="2" customWidth="1"/>
    <col min="22" max="22" width="7.33203125" style="2" customWidth="1"/>
    <col min="23" max="23" width="15.33203125" style="2" customWidth="1"/>
    <col min="24" max="24" width="9.1640625" style="2" customWidth="1"/>
    <col min="25" max="25" width="7.33203125" style="2" customWidth="1"/>
    <col min="26" max="26" width="15.33203125" style="2" customWidth="1"/>
    <col min="27" max="16384" width="10.83203125" style="2"/>
  </cols>
  <sheetData>
    <row r="1" spans="2:26" x14ac:dyDescent="0.2">
      <c r="F1" s="172" t="s">
        <v>42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4"/>
    </row>
    <row r="2" spans="2:26" x14ac:dyDescent="0.2">
      <c r="B2" s="43" t="s">
        <v>42</v>
      </c>
      <c r="C2" s="44"/>
      <c r="D2" s="44"/>
      <c r="E2" s="44"/>
      <c r="F2" s="184"/>
      <c r="G2" s="162" t="s">
        <v>96</v>
      </c>
      <c r="H2" s="163"/>
      <c r="I2" s="163"/>
      <c r="J2" s="163"/>
      <c r="K2" s="186" t="s">
        <v>95</v>
      </c>
      <c r="L2" s="187"/>
      <c r="M2" s="187"/>
      <c r="N2" s="188"/>
      <c r="O2" s="189" t="s">
        <v>99</v>
      </c>
      <c r="P2" s="190"/>
      <c r="Q2" s="191"/>
      <c r="R2" s="192" t="s">
        <v>97</v>
      </c>
      <c r="S2" s="192"/>
      <c r="T2" s="193"/>
      <c r="U2" s="190" t="s">
        <v>100</v>
      </c>
      <c r="V2" s="190"/>
      <c r="W2" s="191"/>
      <c r="X2" s="192" t="s">
        <v>98</v>
      </c>
      <c r="Y2" s="192"/>
      <c r="Z2" s="193"/>
    </row>
    <row r="3" spans="2:26" ht="30" customHeight="1" x14ac:dyDescent="0.2">
      <c r="B3" s="28"/>
      <c r="C3" s="29"/>
      <c r="D3" s="29"/>
      <c r="E3" s="29"/>
      <c r="F3" s="185"/>
      <c r="G3" s="89" t="s">
        <v>94</v>
      </c>
      <c r="H3" s="75" t="s">
        <v>101</v>
      </c>
      <c r="I3" s="90" t="s">
        <v>82</v>
      </c>
      <c r="J3" s="75" t="s">
        <v>83</v>
      </c>
      <c r="K3" s="89" t="s">
        <v>94</v>
      </c>
      <c r="L3" s="75" t="s">
        <v>101</v>
      </c>
      <c r="M3" s="90" t="s">
        <v>82</v>
      </c>
      <c r="N3" s="75" t="s">
        <v>83</v>
      </c>
      <c r="O3" s="142" t="s">
        <v>126</v>
      </c>
      <c r="P3" s="143"/>
      <c r="Q3" s="143"/>
      <c r="R3" s="142" t="s">
        <v>126</v>
      </c>
      <c r="S3" s="144"/>
      <c r="T3" s="145"/>
      <c r="U3" s="144" t="s">
        <v>126</v>
      </c>
      <c r="V3" s="143"/>
      <c r="W3" s="145"/>
      <c r="X3" s="144" t="s">
        <v>126</v>
      </c>
      <c r="Y3" s="144"/>
      <c r="Z3" s="145"/>
    </row>
    <row r="4" spans="2:26" x14ac:dyDescent="0.2">
      <c r="B4" s="13">
        <v>50</v>
      </c>
      <c r="C4" s="33">
        <f>'3º Alta Frec'!H5</f>
        <v>25.200795838349979</v>
      </c>
      <c r="D4" s="33">
        <f>'3º Alta Frec'!R5</f>
        <v>28.328391155282088</v>
      </c>
      <c r="E4" s="34">
        <f t="shared" ref="E4:E24" si="0">COUNT(C4:D4)</f>
        <v>2</v>
      </c>
      <c r="F4" s="111">
        <v>23.6616062648712</v>
      </c>
      <c r="G4" s="13"/>
      <c r="H4" s="18"/>
      <c r="I4" s="18"/>
      <c r="J4" s="18"/>
      <c r="K4" s="13"/>
      <c r="L4" s="18"/>
      <c r="M4" s="95"/>
      <c r="N4" s="96"/>
      <c r="O4" s="13"/>
      <c r="P4" s="18"/>
      <c r="Q4" s="97"/>
      <c r="R4" s="34">
        <v>-41</v>
      </c>
      <c r="S4" s="33">
        <f t="shared" ref="S4:S6" si="1">R4-F4</f>
        <v>-64.661606264871196</v>
      </c>
      <c r="T4" s="97">
        <f>10^(S4/10)</f>
        <v>3.4185298269949778E-7</v>
      </c>
      <c r="U4" s="18"/>
      <c r="V4" s="18"/>
      <c r="W4" s="97"/>
      <c r="X4" s="34">
        <v>-25</v>
      </c>
      <c r="Y4" s="33">
        <f t="shared" ref="Y4:Y24" si="2">X4-F4</f>
        <v>-48.661606264871196</v>
      </c>
      <c r="Z4" s="97">
        <f t="shared" ref="Z4:Z24" si="3">10^(Y4/10)</f>
        <v>1.3609412368777083E-5</v>
      </c>
    </row>
    <row r="5" spans="2:26" x14ac:dyDescent="0.2">
      <c r="B5" s="13">
        <v>63</v>
      </c>
      <c r="C5" s="33">
        <f>'3º Alta Frec'!H6</f>
        <v>37.678395830980264</v>
      </c>
      <c r="D5" s="33">
        <f>'3º Alta Frec'!R6</f>
        <v>43.433076271830657</v>
      </c>
      <c r="E5" s="34">
        <f t="shared" si="0"/>
        <v>2</v>
      </c>
      <c r="F5" s="112">
        <v>21.433461776950683</v>
      </c>
      <c r="G5" s="13"/>
      <c r="H5" s="18"/>
      <c r="I5" s="18"/>
      <c r="J5" s="18"/>
      <c r="K5" s="13"/>
      <c r="L5" s="18"/>
      <c r="M5" s="95"/>
      <c r="N5" s="96"/>
      <c r="O5" s="13"/>
      <c r="P5" s="18"/>
      <c r="Q5" s="97"/>
      <c r="R5" s="34">
        <v>-37</v>
      </c>
      <c r="S5" s="33">
        <f t="shared" si="1"/>
        <v>-58.433461776950679</v>
      </c>
      <c r="T5" s="97">
        <f t="shared" ref="T5:T24" si="4">10^(S5/10)</f>
        <v>1.4343456554735864E-6</v>
      </c>
      <c r="U5" s="18"/>
      <c r="V5" s="18"/>
      <c r="W5" s="97"/>
      <c r="X5" s="34">
        <v>-23</v>
      </c>
      <c r="Y5" s="33">
        <f t="shared" si="2"/>
        <v>-44.433461776950679</v>
      </c>
      <c r="Z5" s="97">
        <f t="shared" si="3"/>
        <v>3.60291339007882E-5</v>
      </c>
    </row>
    <row r="6" spans="2:26" x14ac:dyDescent="0.2">
      <c r="B6" s="13">
        <v>80</v>
      </c>
      <c r="C6" s="33">
        <f>'3º Alta Frec'!H7</f>
        <v>31.200881098850534</v>
      </c>
      <c r="D6" s="33">
        <f>'3º Alta Frec'!R7</f>
        <v>44.035932322292481</v>
      </c>
      <c r="E6" s="34">
        <f t="shared" si="0"/>
        <v>2</v>
      </c>
      <c r="F6" s="112">
        <v>26.751193970005058</v>
      </c>
      <c r="G6" s="13"/>
      <c r="H6" s="18"/>
      <c r="I6" s="18"/>
      <c r="J6" s="18"/>
      <c r="K6" s="13"/>
      <c r="L6" s="18"/>
      <c r="M6" s="95"/>
      <c r="N6" s="96"/>
      <c r="O6" s="13"/>
      <c r="P6" s="18"/>
      <c r="Q6" s="97"/>
      <c r="R6" s="34">
        <v>-34</v>
      </c>
      <c r="S6" s="33">
        <f t="shared" si="1"/>
        <v>-60.751193970005062</v>
      </c>
      <c r="T6" s="97">
        <f t="shared" si="4"/>
        <v>8.4116385561169348E-7</v>
      </c>
      <c r="U6" s="18"/>
      <c r="V6" s="18"/>
      <c r="W6" s="97"/>
      <c r="X6" s="34">
        <v>-21</v>
      </c>
      <c r="Y6" s="33">
        <f t="shared" si="2"/>
        <v>-47.751193970005062</v>
      </c>
      <c r="Z6" s="97">
        <f t="shared" si="3"/>
        <v>1.6783425418159327E-5</v>
      </c>
    </row>
    <row r="7" spans="2:26" x14ac:dyDescent="0.2">
      <c r="B7" s="13">
        <v>100</v>
      </c>
      <c r="C7" s="33">
        <f>'3º Alta Frec'!H8</f>
        <v>35.199794264902579</v>
      </c>
      <c r="D7" s="33">
        <f>'3º Alta Frec'!R8</f>
        <v>44.383819252317181</v>
      </c>
      <c r="E7" s="34">
        <f t="shared" si="0"/>
        <v>2</v>
      </c>
      <c r="F7" s="112">
        <f t="shared" ref="F7:F24" si="5">-10*LOG10((10^(-C7/10)+10^(-D7/10))/E7)</f>
        <v>37.715318710513287</v>
      </c>
      <c r="G7" s="13">
        <v>33</v>
      </c>
      <c r="H7" s="18">
        <f>G7-5</f>
        <v>28</v>
      </c>
      <c r="I7" s="18">
        <f>G7-6</f>
        <v>27</v>
      </c>
      <c r="J7" s="18">
        <f>G7-7</f>
        <v>26</v>
      </c>
      <c r="K7" s="79">
        <f t="shared" ref="K7:K22" si="6">IF((F7-G7)&gt;0,F7-G7,0)</f>
        <v>4.7153187105132872</v>
      </c>
      <c r="L7" s="33">
        <f t="shared" ref="L7:L22" si="7">IF((F7-H7)&gt;0,F7-H7,0)</f>
        <v>9.7153187105132872</v>
      </c>
      <c r="M7" s="98">
        <f t="shared" ref="M7:M22" si="8">IF((F7-I7)&gt;0,F7-I7,0)</f>
        <v>10.715318710513287</v>
      </c>
      <c r="N7" s="66">
        <f t="shared" ref="N7:N22" si="9">IF((F7-J7)&gt;0,F7-J7,0)</f>
        <v>11.715318710513287</v>
      </c>
      <c r="O7" s="99">
        <v>-29</v>
      </c>
      <c r="P7" s="33">
        <f>O7-F7</f>
        <v>-66.715318710513287</v>
      </c>
      <c r="Q7" s="97">
        <f>10^(P7/10)</f>
        <v>2.1304342181700526E-7</v>
      </c>
      <c r="R7" s="34">
        <v>-30</v>
      </c>
      <c r="S7" s="33">
        <f>R7-F7</f>
        <v>-67.715318710513287</v>
      </c>
      <c r="T7" s="97">
        <f>10^(S7/10)</f>
        <v>1.6922640517152242E-7</v>
      </c>
      <c r="U7" s="34">
        <v>-20</v>
      </c>
      <c r="V7" s="33">
        <f>U7-F7</f>
        <v>-57.715318710513287</v>
      </c>
      <c r="W7" s="97">
        <f>10^(V7/10)</f>
        <v>1.6922640517152264E-6</v>
      </c>
      <c r="X7" s="34">
        <v>-20</v>
      </c>
      <c r="Y7" s="33">
        <f>X7-F7</f>
        <v>-57.715318710513287</v>
      </c>
      <c r="Z7" s="97">
        <f>10^(Y7/10)</f>
        <v>1.6922640517152264E-6</v>
      </c>
    </row>
    <row r="8" spans="2:26" x14ac:dyDescent="0.2">
      <c r="B8" s="13">
        <v>125</v>
      </c>
      <c r="C8" s="33">
        <f>'3º Alta Frec'!H9</f>
        <v>32.633207931938273</v>
      </c>
      <c r="D8" s="33">
        <f>'3º Alta Frec'!R9</f>
        <v>33.997731621931855</v>
      </c>
      <c r="E8" s="34">
        <f t="shared" si="0"/>
        <v>2</v>
      </c>
      <c r="F8" s="112">
        <f t="shared" si="5"/>
        <v>33.262098260255229</v>
      </c>
      <c r="G8" s="13">
        <v>36</v>
      </c>
      <c r="H8" s="18">
        <f t="shared" ref="H8:H22" si="10">G8-5</f>
        <v>31</v>
      </c>
      <c r="I8" s="18">
        <f t="shared" ref="I8:I22" si="11">G8-6</f>
        <v>30</v>
      </c>
      <c r="J8" s="18">
        <f t="shared" ref="J8:J22" si="12">G8-7</f>
        <v>29</v>
      </c>
      <c r="K8" s="79">
        <f t="shared" si="6"/>
        <v>0</v>
      </c>
      <c r="L8" s="33">
        <f t="shared" si="7"/>
        <v>2.2620982602552289</v>
      </c>
      <c r="M8" s="98">
        <f t="shared" si="8"/>
        <v>3.2620982602552289</v>
      </c>
      <c r="N8" s="66">
        <f t="shared" si="9"/>
        <v>4.2620982602552289</v>
      </c>
      <c r="O8" s="99">
        <v>-26</v>
      </c>
      <c r="P8" s="33">
        <f t="shared" ref="P8:P22" si="13">O8-F8</f>
        <v>-59.262098260255229</v>
      </c>
      <c r="Q8" s="97">
        <f t="shared" ref="Q8:Q22" si="14">10^(P8/10)</f>
        <v>1.1851959915250229E-6</v>
      </c>
      <c r="R8" s="34">
        <v>-27</v>
      </c>
      <c r="S8" s="33">
        <f t="shared" ref="S8:S24" si="15">R8-F8</f>
        <v>-60.262098260255229</v>
      </c>
      <c r="T8" s="97">
        <f t="shared" si="4"/>
        <v>9.4143463975036349E-7</v>
      </c>
      <c r="U8" s="34">
        <v>-20</v>
      </c>
      <c r="V8" s="33">
        <f t="shared" ref="V8:V22" si="16">U8-F8</f>
        <v>-53.262098260255229</v>
      </c>
      <c r="W8" s="97">
        <f t="shared" ref="W8:W22" si="17">10^(V8/10)</f>
        <v>4.7183502273737249E-6</v>
      </c>
      <c r="X8" s="34">
        <v>-20</v>
      </c>
      <c r="Y8" s="33">
        <f t="shared" si="2"/>
        <v>-53.262098260255229</v>
      </c>
      <c r="Z8" s="97">
        <f t="shared" si="3"/>
        <v>4.7183502273737249E-6</v>
      </c>
    </row>
    <row r="9" spans="2:26" x14ac:dyDescent="0.2">
      <c r="B9" s="13">
        <v>160</v>
      </c>
      <c r="C9" s="33">
        <f>'3º Alta Frec'!H10</f>
        <v>36.492517484172531</v>
      </c>
      <c r="D9" s="33">
        <f>'3º Alta Frec'!R10</f>
        <v>38.7274888635949</v>
      </c>
      <c r="E9" s="34">
        <f t="shared" si="0"/>
        <v>2</v>
      </c>
      <c r="F9" s="112">
        <f t="shared" si="5"/>
        <v>37.467791740906129</v>
      </c>
      <c r="G9" s="13">
        <v>39</v>
      </c>
      <c r="H9" s="18">
        <f t="shared" si="10"/>
        <v>34</v>
      </c>
      <c r="I9" s="18">
        <f t="shared" si="11"/>
        <v>33</v>
      </c>
      <c r="J9" s="18">
        <f t="shared" si="12"/>
        <v>32</v>
      </c>
      <c r="K9" s="79">
        <f t="shared" si="6"/>
        <v>0</v>
      </c>
      <c r="L9" s="33">
        <f t="shared" si="7"/>
        <v>3.4677917409061294</v>
      </c>
      <c r="M9" s="98">
        <f t="shared" si="8"/>
        <v>4.4677917409061294</v>
      </c>
      <c r="N9" s="66">
        <f t="shared" si="9"/>
        <v>5.4677917409061294</v>
      </c>
      <c r="O9" s="99">
        <v>-23</v>
      </c>
      <c r="P9" s="33">
        <f t="shared" si="13"/>
        <v>-60.467791740906129</v>
      </c>
      <c r="Q9" s="97">
        <f t="shared" si="14"/>
        <v>8.9788522655239899E-7</v>
      </c>
      <c r="R9" s="34">
        <v>-24</v>
      </c>
      <c r="S9" s="33">
        <f t="shared" si="15"/>
        <v>-61.467791740906129</v>
      </c>
      <c r="T9" s="97">
        <f t="shared" si="4"/>
        <v>7.1321558699237925E-7</v>
      </c>
      <c r="U9" s="34">
        <v>-18</v>
      </c>
      <c r="V9" s="33">
        <f t="shared" si="16"/>
        <v>-55.467791740906129</v>
      </c>
      <c r="W9" s="97">
        <f t="shared" si="17"/>
        <v>2.8393623933218765E-6</v>
      </c>
      <c r="X9" s="34">
        <v>-18</v>
      </c>
      <c r="Y9" s="33">
        <f t="shared" si="2"/>
        <v>-55.467791740906129</v>
      </c>
      <c r="Z9" s="97">
        <f t="shared" si="3"/>
        <v>2.8393623933218765E-6</v>
      </c>
    </row>
    <row r="10" spans="2:26" x14ac:dyDescent="0.2">
      <c r="B10" s="13">
        <v>200</v>
      </c>
      <c r="C10" s="33">
        <f>'3º Alta Frec'!H11</f>
        <v>40.595516030889371</v>
      </c>
      <c r="D10" s="33">
        <f>'3º Alta Frec'!R11</f>
        <v>38.356675979562283</v>
      </c>
      <c r="E10" s="34">
        <f t="shared" si="0"/>
        <v>2</v>
      </c>
      <c r="F10" s="112">
        <f t="shared" si="5"/>
        <v>39.333397144955235</v>
      </c>
      <c r="G10" s="13">
        <v>42</v>
      </c>
      <c r="H10" s="18">
        <f t="shared" si="10"/>
        <v>37</v>
      </c>
      <c r="I10" s="18">
        <f t="shared" si="11"/>
        <v>36</v>
      </c>
      <c r="J10" s="18">
        <f t="shared" si="12"/>
        <v>35</v>
      </c>
      <c r="K10" s="79">
        <f t="shared" si="6"/>
        <v>0</v>
      </c>
      <c r="L10" s="33">
        <f t="shared" si="7"/>
        <v>2.3333971449552351</v>
      </c>
      <c r="M10" s="98">
        <f t="shared" si="8"/>
        <v>3.3333971449552351</v>
      </c>
      <c r="N10" s="66">
        <f t="shared" si="9"/>
        <v>4.3333971449552351</v>
      </c>
      <c r="O10" s="99">
        <v>-21</v>
      </c>
      <c r="P10" s="33">
        <f t="shared" si="13"/>
        <v>-60.333397144955235</v>
      </c>
      <c r="Q10" s="97">
        <f t="shared" si="14"/>
        <v>9.2610512060983403E-7</v>
      </c>
      <c r="R10" s="34">
        <v>-22</v>
      </c>
      <c r="S10" s="33">
        <f t="shared" si="15"/>
        <v>-61.333397144955235</v>
      </c>
      <c r="T10" s="97">
        <f t="shared" si="4"/>
        <v>7.3563144562312808E-7</v>
      </c>
      <c r="U10" s="34">
        <v>-16</v>
      </c>
      <c r="V10" s="33">
        <f t="shared" si="16"/>
        <v>-55.333397144955235</v>
      </c>
      <c r="W10" s="97">
        <f t="shared" si="17"/>
        <v>2.9286015338720223E-6</v>
      </c>
      <c r="X10" s="34">
        <v>-16</v>
      </c>
      <c r="Y10" s="33">
        <f t="shared" si="2"/>
        <v>-55.333397144955235</v>
      </c>
      <c r="Z10" s="97">
        <f t="shared" si="3"/>
        <v>2.9286015338720223E-6</v>
      </c>
    </row>
    <row r="11" spans="2:26" x14ac:dyDescent="0.2">
      <c r="B11" s="13">
        <v>250</v>
      </c>
      <c r="C11" s="33">
        <f>'3º Alta Frec'!H12</f>
        <v>44.664967848034117</v>
      </c>
      <c r="D11" s="33">
        <f>'3º Alta Frec'!R12</f>
        <v>40.67342233098362</v>
      </c>
      <c r="E11" s="34">
        <f t="shared" si="0"/>
        <v>2</v>
      </c>
      <c r="F11" s="112">
        <f t="shared" si="5"/>
        <v>42.22590858928249</v>
      </c>
      <c r="G11" s="100">
        <v>45</v>
      </c>
      <c r="H11" s="18">
        <f t="shared" si="10"/>
        <v>40</v>
      </c>
      <c r="I11" s="18">
        <f t="shared" si="11"/>
        <v>39</v>
      </c>
      <c r="J11" s="18">
        <f t="shared" si="12"/>
        <v>38</v>
      </c>
      <c r="K11" s="79">
        <f t="shared" si="6"/>
        <v>0</v>
      </c>
      <c r="L11" s="33">
        <f t="shared" si="7"/>
        <v>2.2259085892824899</v>
      </c>
      <c r="M11" s="98">
        <f t="shared" si="8"/>
        <v>3.2259085892824899</v>
      </c>
      <c r="N11" s="66">
        <f t="shared" si="9"/>
        <v>4.2259085892824899</v>
      </c>
      <c r="O11" s="99">
        <v>-19</v>
      </c>
      <c r="P11" s="33">
        <f t="shared" si="13"/>
        <v>-61.22590858928249</v>
      </c>
      <c r="Q11" s="97">
        <f t="shared" si="14"/>
        <v>7.5406562096351249E-7</v>
      </c>
      <c r="R11" s="34">
        <v>-20</v>
      </c>
      <c r="S11" s="33">
        <f t="shared" si="15"/>
        <v>-62.22590858928249</v>
      </c>
      <c r="T11" s="97">
        <f t="shared" si="4"/>
        <v>5.9897561356621649E-7</v>
      </c>
      <c r="U11" s="34">
        <v>-15</v>
      </c>
      <c r="V11" s="33">
        <f t="shared" si="16"/>
        <v>-57.22590858928249</v>
      </c>
      <c r="W11" s="97">
        <f t="shared" si="17"/>
        <v>1.8941272017660954E-6</v>
      </c>
      <c r="X11" s="34">
        <v>-15</v>
      </c>
      <c r="Y11" s="33">
        <f t="shared" si="2"/>
        <v>-57.22590858928249</v>
      </c>
      <c r="Z11" s="97">
        <f t="shared" si="3"/>
        <v>1.8941272017660954E-6</v>
      </c>
    </row>
    <row r="12" spans="2:26" x14ac:dyDescent="0.2">
      <c r="B12" s="13">
        <v>315</v>
      </c>
      <c r="C12" s="33">
        <f>'3º Alta Frec'!H13</f>
        <v>41.118595054109917</v>
      </c>
      <c r="D12" s="33">
        <f>'3º Alta Frec'!R13</f>
        <v>39.303733731461435</v>
      </c>
      <c r="E12" s="34">
        <f t="shared" si="0"/>
        <v>2</v>
      </c>
      <c r="F12" s="112">
        <f t="shared" si="5"/>
        <v>40.117045332687944</v>
      </c>
      <c r="G12" s="100">
        <v>48</v>
      </c>
      <c r="H12" s="18">
        <f t="shared" si="10"/>
        <v>43</v>
      </c>
      <c r="I12" s="18">
        <f t="shared" si="11"/>
        <v>42</v>
      </c>
      <c r="J12" s="18">
        <f t="shared" si="12"/>
        <v>41</v>
      </c>
      <c r="K12" s="79">
        <f t="shared" si="6"/>
        <v>0</v>
      </c>
      <c r="L12" s="33">
        <f t="shared" si="7"/>
        <v>0</v>
      </c>
      <c r="M12" s="98">
        <f t="shared" si="8"/>
        <v>0</v>
      </c>
      <c r="N12" s="66">
        <f t="shared" si="9"/>
        <v>0</v>
      </c>
      <c r="O12" s="99">
        <v>-17</v>
      </c>
      <c r="P12" s="33">
        <f t="shared" si="13"/>
        <v>-57.117045332687944</v>
      </c>
      <c r="Q12" s="97">
        <f t="shared" si="14"/>
        <v>1.9422067839123531E-6</v>
      </c>
      <c r="R12" s="34">
        <v>-18</v>
      </c>
      <c r="S12" s="33">
        <f t="shared" si="15"/>
        <v>-58.117045332687944</v>
      </c>
      <c r="T12" s="97">
        <f t="shared" si="4"/>
        <v>1.542749686134625E-6</v>
      </c>
      <c r="U12" s="34">
        <v>-14</v>
      </c>
      <c r="V12" s="33">
        <f t="shared" si="16"/>
        <v>-54.117045332687944</v>
      </c>
      <c r="W12" s="97">
        <f t="shared" si="17"/>
        <v>3.8752120038172269E-6</v>
      </c>
      <c r="X12" s="34">
        <v>-14</v>
      </c>
      <c r="Y12" s="33">
        <f t="shared" si="2"/>
        <v>-54.117045332687944</v>
      </c>
      <c r="Z12" s="97">
        <f t="shared" si="3"/>
        <v>3.8752120038172269E-6</v>
      </c>
    </row>
    <row r="13" spans="2:26" x14ac:dyDescent="0.2">
      <c r="B13" s="13">
        <v>400</v>
      </c>
      <c r="C13" s="33">
        <f>'3º Alta Frec'!H14</f>
        <v>40.820932857828694</v>
      </c>
      <c r="D13" s="33">
        <f>'3º Alta Frec'!R14</f>
        <v>41.22671899595732</v>
      </c>
      <c r="E13" s="34">
        <f t="shared" si="0"/>
        <v>2</v>
      </c>
      <c r="F13" s="112">
        <f t="shared" si="5"/>
        <v>41.019088285325552</v>
      </c>
      <c r="G13" s="100">
        <v>51</v>
      </c>
      <c r="H13" s="18">
        <f t="shared" si="10"/>
        <v>46</v>
      </c>
      <c r="I13" s="18">
        <f t="shared" si="11"/>
        <v>45</v>
      </c>
      <c r="J13" s="18">
        <f t="shared" si="12"/>
        <v>44</v>
      </c>
      <c r="K13" s="79">
        <f t="shared" si="6"/>
        <v>0</v>
      </c>
      <c r="L13" s="33">
        <f t="shared" si="7"/>
        <v>0</v>
      </c>
      <c r="M13" s="98">
        <f t="shared" si="8"/>
        <v>0</v>
      </c>
      <c r="N13" s="66">
        <f t="shared" si="9"/>
        <v>0</v>
      </c>
      <c r="O13" s="99">
        <v>-15</v>
      </c>
      <c r="P13" s="33">
        <f t="shared" si="13"/>
        <v>-56.019088285325552</v>
      </c>
      <c r="Q13" s="97">
        <f t="shared" si="14"/>
        <v>2.5008703144525961E-6</v>
      </c>
      <c r="R13" s="34">
        <v>-16</v>
      </c>
      <c r="S13" s="33">
        <f t="shared" si="15"/>
        <v>-57.019088285325552</v>
      </c>
      <c r="T13" s="97">
        <f t="shared" si="4"/>
        <v>1.986511902153491E-6</v>
      </c>
      <c r="U13" s="34">
        <v>-13</v>
      </c>
      <c r="V13" s="33">
        <f t="shared" si="16"/>
        <v>-54.019088285325552</v>
      </c>
      <c r="W13" s="97">
        <f t="shared" si="17"/>
        <v>3.9636123366040026E-6</v>
      </c>
      <c r="X13" s="34">
        <v>-13</v>
      </c>
      <c r="Y13" s="33">
        <f t="shared" si="2"/>
        <v>-54.019088285325552</v>
      </c>
      <c r="Z13" s="97">
        <f t="shared" si="3"/>
        <v>3.9636123366040026E-6</v>
      </c>
    </row>
    <row r="14" spans="2:26" x14ac:dyDescent="0.2">
      <c r="B14" s="13">
        <v>500</v>
      </c>
      <c r="C14" s="33">
        <f>'3º Alta Frec'!H15</f>
        <v>42.541698650489622</v>
      </c>
      <c r="D14" s="33">
        <f>'3º Alta Frec'!R15</f>
        <v>42.697234256077444</v>
      </c>
      <c r="E14" s="34">
        <f t="shared" si="0"/>
        <v>2</v>
      </c>
      <c r="F14" s="112">
        <f t="shared" si="5"/>
        <v>42.618770208198114</v>
      </c>
      <c r="G14" s="101">
        <v>52</v>
      </c>
      <c r="H14" s="18">
        <f t="shared" si="10"/>
        <v>47</v>
      </c>
      <c r="I14" s="95">
        <f t="shared" si="11"/>
        <v>46</v>
      </c>
      <c r="J14" s="18">
        <f t="shared" si="12"/>
        <v>45</v>
      </c>
      <c r="K14" s="79">
        <f t="shared" si="6"/>
        <v>0</v>
      </c>
      <c r="L14" s="33">
        <f t="shared" si="7"/>
        <v>0</v>
      </c>
      <c r="M14" s="98">
        <f t="shared" si="8"/>
        <v>0</v>
      </c>
      <c r="N14" s="66">
        <f t="shared" si="9"/>
        <v>0</v>
      </c>
      <c r="O14" s="99">
        <v>-13</v>
      </c>
      <c r="P14" s="33">
        <f t="shared" si="13"/>
        <v>-55.618770208198114</v>
      </c>
      <c r="Q14" s="97">
        <f t="shared" si="14"/>
        <v>2.7423506134876073E-6</v>
      </c>
      <c r="R14" s="34">
        <v>-14</v>
      </c>
      <c r="S14" s="33">
        <f t="shared" si="15"/>
        <v>-56.618770208198114</v>
      </c>
      <c r="T14" s="97">
        <f t="shared" si="4"/>
        <v>2.1783265218066599E-6</v>
      </c>
      <c r="U14" s="34">
        <v>-12</v>
      </c>
      <c r="V14" s="33">
        <f t="shared" si="16"/>
        <v>-54.618770208198114</v>
      </c>
      <c r="W14" s="97">
        <f t="shared" si="17"/>
        <v>3.4524148753688761E-6</v>
      </c>
      <c r="X14" s="34">
        <v>-12</v>
      </c>
      <c r="Y14" s="33">
        <f t="shared" si="2"/>
        <v>-54.618770208198114</v>
      </c>
      <c r="Z14" s="97">
        <f t="shared" si="3"/>
        <v>3.4524148753688761E-6</v>
      </c>
    </row>
    <row r="15" spans="2:26" x14ac:dyDescent="0.2">
      <c r="B15" s="13">
        <v>630</v>
      </c>
      <c r="C15" s="33">
        <f>'3º Alta Frec'!H16</f>
        <v>47.265236135044368</v>
      </c>
      <c r="D15" s="33">
        <f>'3º Alta Frec'!R16</f>
        <v>48.089875784494701</v>
      </c>
      <c r="E15" s="34">
        <f t="shared" si="0"/>
        <v>2</v>
      </c>
      <c r="F15" s="112">
        <f t="shared" si="5"/>
        <v>47.658012440402366</v>
      </c>
      <c r="G15" s="13">
        <v>53</v>
      </c>
      <c r="H15" s="18">
        <f t="shared" si="10"/>
        <v>48</v>
      </c>
      <c r="I15" s="18">
        <f t="shared" si="11"/>
        <v>47</v>
      </c>
      <c r="J15" s="18">
        <f t="shared" si="12"/>
        <v>46</v>
      </c>
      <c r="K15" s="79">
        <f t="shared" si="6"/>
        <v>0</v>
      </c>
      <c r="L15" s="33">
        <f t="shared" si="7"/>
        <v>0</v>
      </c>
      <c r="M15" s="98">
        <f t="shared" si="8"/>
        <v>0.65801244040236639</v>
      </c>
      <c r="N15" s="66">
        <f t="shared" si="9"/>
        <v>1.6580124404023664</v>
      </c>
      <c r="O15" s="99">
        <v>-12</v>
      </c>
      <c r="P15" s="33">
        <f t="shared" si="13"/>
        <v>-59.658012440402366</v>
      </c>
      <c r="Q15" s="97">
        <f t="shared" si="14"/>
        <v>1.0819289855284376E-6</v>
      </c>
      <c r="R15" s="34">
        <v>-13</v>
      </c>
      <c r="S15" s="33">
        <f t="shared" si="15"/>
        <v>-60.658012440402366</v>
      </c>
      <c r="T15" s="97">
        <f t="shared" si="4"/>
        <v>8.5940674117183734E-7</v>
      </c>
      <c r="U15" s="34">
        <v>-11</v>
      </c>
      <c r="V15" s="33">
        <f t="shared" si="16"/>
        <v>-58.658012440402366</v>
      </c>
      <c r="W15" s="97">
        <f t="shared" si="17"/>
        <v>1.3620678936384375E-6</v>
      </c>
      <c r="X15" s="34">
        <v>-11</v>
      </c>
      <c r="Y15" s="33">
        <f t="shared" si="2"/>
        <v>-58.658012440402366</v>
      </c>
      <c r="Z15" s="97">
        <f t="shared" si="3"/>
        <v>1.3620678936384375E-6</v>
      </c>
    </row>
    <row r="16" spans="2:26" x14ac:dyDescent="0.2">
      <c r="B16" s="13">
        <v>800</v>
      </c>
      <c r="C16" s="33">
        <f>'3º Alta Frec'!H17</f>
        <v>50.227908414805519</v>
      </c>
      <c r="D16" s="33">
        <f>'3º Alta Frec'!R17</f>
        <v>49.47119592587925</v>
      </c>
      <c r="E16" s="34">
        <f t="shared" si="0"/>
        <v>2</v>
      </c>
      <c r="F16" s="112">
        <f t="shared" si="5"/>
        <v>49.833091826748557</v>
      </c>
      <c r="G16" s="13">
        <v>54</v>
      </c>
      <c r="H16" s="18">
        <f t="shared" si="10"/>
        <v>49</v>
      </c>
      <c r="I16" s="18">
        <f t="shared" si="11"/>
        <v>48</v>
      </c>
      <c r="J16" s="18">
        <f t="shared" si="12"/>
        <v>47</v>
      </c>
      <c r="K16" s="79">
        <f t="shared" si="6"/>
        <v>0</v>
      </c>
      <c r="L16" s="33">
        <f t="shared" si="7"/>
        <v>0.8330918267485572</v>
      </c>
      <c r="M16" s="98">
        <f t="shared" si="8"/>
        <v>1.8330918267485572</v>
      </c>
      <c r="N16" s="66">
        <f t="shared" si="9"/>
        <v>2.8330918267485572</v>
      </c>
      <c r="O16" s="99">
        <v>-11</v>
      </c>
      <c r="P16" s="33">
        <f t="shared" si="13"/>
        <v>-60.833091826748557</v>
      </c>
      <c r="Q16" s="97">
        <f t="shared" si="14"/>
        <v>8.254500864011913E-7</v>
      </c>
      <c r="R16" s="34">
        <v>-12</v>
      </c>
      <c r="S16" s="33">
        <f t="shared" si="15"/>
        <v>-61.833091826748557</v>
      </c>
      <c r="T16" s="97">
        <f t="shared" si="4"/>
        <v>6.5567830998406341E-7</v>
      </c>
      <c r="U16" s="34">
        <v>-9</v>
      </c>
      <c r="V16" s="33">
        <f t="shared" si="16"/>
        <v>-58.833091826748557</v>
      </c>
      <c r="W16" s="97">
        <f t="shared" si="17"/>
        <v>1.308250222653688E-6</v>
      </c>
      <c r="X16" s="34">
        <v>-9</v>
      </c>
      <c r="Y16" s="33">
        <f t="shared" si="2"/>
        <v>-58.833091826748557</v>
      </c>
      <c r="Z16" s="97">
        <f t="shared" si="3"/>
        <v>1.308250222653688E-6</v>
      </c>
    </row>
    <row r="17" spans="2:26" x14ac:dyDescent="0.2">
      <c r="B17" s="13">
        <v>1000</v>
      </c>
      <c r="C17" s="33">
        <f>'3º Alta Frec'!H18</f>
        <v>52.378241936338526</v>
      </c>
      <c r="D17" s="33">
        <f>'3º Alta Frec'!R18</f>
        <v>51.075368119574904</v>
      </c>
      <c r="E17" s="34">
        <f t="shared" si="0"/>
        <v>2</v>
      </c>
      <c r="F17" s="112">
        <f t="shared" si="5"/>
        <v>51.678129741673935</v>
      </c>
      <c r="G17" s="13">
        <v>55</v>
      </c>
      <c r="H17" s="18">
        <f t="shared" si="10"/>
        <v>50</v>
      </c>
      <c r="I17" s="18">
        <f t="shared" si="11"/>
        <v>49</v>
      </c>
      <c r="J17" s="18">
        <f t="shared" si="12"/>
        <v>48</v>
      </c>
      <c r="K17" s="79">
        <f t="shared" si="6"/>
        <v>0</v>
      </c>
      <c r="L17" s="33">
        <f t="shared" si="7"/>
        <v>1.6781297416739349</v>
      </c>
      <c r="M17" s="98">
        <f t="shared" si="8"/>
        <v>2.6781297416739349</v>
      </c>
      <c r="N17" s="66">
        <f t="shared" si="9"/>
        <v>3.6781297416739349</v>
      </c>
      <c r="O17" s="99">
        <v>-10</v>
      </c>
      <c r="P17" s="33">
        <f t="shared" si="13"/>
        <v>-61.678129741673935</v>
      </c>
      <c r="Q17" s="97">
        <f t="shared" si="14"/>
        <v>6.794961898245805E-7</v>
      </c>
      <c r="R17" s="34">
        <v>-11</v>
      </c>
      <c r="S17" s="33">
        <f t="shared" si="15"/>
        <v>-62.678129741673935</v>
      </c>
      <c r="T17" s="97">
        <f t="shared" si="4"/>
        <v>5.3974300896523475E-7</v>
      </c>
      <c r="U17" s="34">
        <v>-8</v>
      </c>
      <c r="V17" s="33">
        <f t="shared" si="16"/>
        <v>-59.678129741673935</v>
      </c>
      <c r="W17" s="97">
        <f t="shared" si="17"/>
        <v>1.0769288855562437E-6</v>
      </c>
      <c r="X17" s="34">
        <v>-8</v>
      </c>
      <c r="Y17" s="33">
        <f t="shared" si="2"/>
        <v>-59.678129741673935</v>
      </c>
      <c r="Z17" s="97">
        <f t="shared" si="3"/>
        <v>1.0769288855562437E-6</v>
      </c>
    </row>
    <row r="18" spans="2:26" x14ac:dyDescent="0.2">
      <c r="B18" s="13">
        <v>1250</v>
      </c>
      <c r="C18" s="33">
        <f>'3º Alta Frec'!H19</f>
        <v>50.760382130664588</v>
      </c>
      <c r="D18" s="33">
        <f>'3º Alta Frec'!R19</f>
        <v>49.618343680816778</v>
      </c>
      <c r="E18" s="34">
        <f t="shared" si="0"/>
        <v>2</v>
      </c>
      <c r="F18" s="112">
        <f t="shared" si="5"/>
        <v>50.151931185230943</v>
      </c>
      <c r="G18" s="13">
        <v>56</v>
      </c>
      <c r="H18" s="18">
        <f t="shared" si="10"/>
        <v>51</v>
      </c>
      <c r="I18" s="18">
        <f t="shared" si="11"/>
        <v>50</v>
      </c>
      <c r="J18" s="18">
        <f t="shared" si="12"/>
        <v>49</v>
      </c>
      <c r="K18" s="79">
        <f t="shared" si="6"/>
        <v>0</v>
      </c>
      <c r="L18" s="33">
        <f t="shared" si="7"/>
        <v>0</v>
      </c>
      <c r="M18" s="98">
        <f t="shared" si="8"/>
        <v>0.15193118523094284</v>
      </c>
      <c r="N18" s="66">
        <f t="shared" si="9"/>
        <v>1.1519311852309428</v>
      </c>
      <c r="O18" s="99">
        <v>-9</v>
      </c>
      <c r="P18" s="33">
        <f t="shared" si="13"/>
        <v>-59.151931185230943</v>
      </c>
      <c r="Q18" s="97">
        <f t="shared" si="14"/>
        <v>1.2156453172111065E-6</v>
      </c>
      <c r="R18" s="34">
        <v>-10</v>
      </c>
      <c r="S18" s="33">
        <f t="shared" si="15"/>
        <v>-60.151931185230943</v>
      </c>
      <c r="T18" s="97">
        <f t="shared" si="4"/>
        <v>9.6562139887113678E-7</v>
      </c>
      <c r="U18" s="34">
        <v>-9</v>
      </c>
      <c r="V18" s="33">
        <f t="shared" si="16"/>
        <v>-59.151931185230943</v>
      </c>
      <c r="W18" s="97">
        <f t="shared" si="17"/>
        <v>1.2156453172111065E-6</v>
      </c>
      <c r="X18" s="34">
        <v>-9</v>
      </c>
      <c r="Y18" s="33">
        <f t="shared" si="2"/>
        <v>-59.151931185230943</v>
      </c>
      <c r="Z18" s="97">
        <f t="shared" si="3"/>
        <v>1.2156453172111065E-6</v>
      </c>
    </row>
    <row r="19" spans="2:26" x14ac:dyDescent="0.2">
      <c r="B19" s="13">
        <v>1600</v>
      </c>
      <c r="C19" s="33">
        <f>'3º Alta Frec'!H20</f>
        <v>51.890913327831477</v>
      </c>
      <c r="D19" s="33">
        <f>'3º Alta Frec'!R20</f>
        <v>50.434317104033802</v>
      </c>
      <c r="E19" s="34">
        <f t="shared" si="0"/>
        <v>2</v>
      </c>
      <c r="F19" s="112">
        <f t="shared" si="5"/>
        <v>51.101832664252655</v>
      </c>
      <c r="G19" s="13">
        <v>56</v>
      </c>
      <c r="H19" s="18">
        <f t="shared" si="10"/>
        <v>51</v>
      </c>
      <c r="I19" s="18">
        <f t="shared" si="11"/>
        <v>50</v>
      </c>
      <c r="J19" s="18">
        <f t="shared" si="12"/>
        <v>49</v>
      </c>
      <c r="K19" s="79">
        <f t="shared" si="6"/>
        <v>0</v>
      </c>
      <c r="L19" s="33">
        <f t="shared" si="7"/>
        <v>0.10183266425265458</v>
      </c>
      <c r="M19" s="98">
        <f t="shared" si="8"/>
        <v>1.1018326642526546</v>
      </c>
      <c r="N19" s="66">
        <f t="shared" si="9"/>
        <v>2.1018326642526546</v>
      </c>
      <c r="O19" s="99">
        <v>-9</v>
      </c>
      <c r="P19" s="33">
        <f t="shared" si="13"/>
        <v>-60.101832664252655</v>
      </c>
      <c r="Q19" s="97">
        <f t="shared" si="14"/>
        <v>9.7682492700065858E-7</v>
      </c>
      <c r="R19" s="34">
        <v>-10</v>
      </c>
      <c r="S19" s="33">
        <f t="shared" si="15"/>
        <v>-61.101832664252655</v>
      </c>
      <c r="T19" s="97">
        <f t="shared" si="4"/>
        <v>7.7591961989910903E-7</v>
      </c>
      <c r="U19" s="34">
        <v>-10</v>
      </c>
      <c r="V19" s="33">
        <f t="shared" si="16"/>
        <v>-61.101832664252655</v>
      </c>
      <c r="W19" s="97">
        <f t="shared" si="17"/>
        <v>7.7591961989910903E-7</v>
      </c>
      <c r="X19" s="34">
        <v>-10</v>
      </c>
      <c r="Y19" s="33">
        <f t="shared" si="2"/>
        <v>-61.101832664252655</v>
      </c>
      <c r="Z19" s="97">
        <f t="shared" si="3"/>
        <v>7.7591961989910903E-7</v>
      </c>
    </row>
    <row r="20" spans="2:26" x14ac:dyDescent="0.2">
      <c r="B20" s="13">
        <v>2000</v>
      </c>
      <c r="C20" s="33">
        <f>'3º Alta Frec'!H21</f>
        <v>51.214360820570683</v>
      </c>
      <c r="D20" s="33">
        <f>'3º Alta Frec'!R21</f>
        <v>49.666199383787593</v>
      </c>
      <c r="E20" s="34">
        <f t="shared" si="0"/>
        <v>2</v>
      </c>
      <c r="F20" s="112">
        <f t="shared" si="5"/>
        <v>50.37165674484207</v>
      </c>
      <c r="G20" s="13">
        <v>56</v>
      </c>
      <c r="H20" s="18">
        <f t="shared" si="10"/>
        <v>51</v>
      </c>
      <c r="I20" s="18">
        <f t="shared" si="11"/>
        <v>50</v>
      </c>
      <c r="J20" s="18">
        <f t="shared" si="12"/>
        <v>49</v>
      </c>
      <c r="K20" s="79">
        <f t="shared" si="6"/>
        <v>0</v>
      </c>
      <c r="L20" s="33">
        <f t="shared" si="7"/>
        <v>0</v>
      </c>
      <c r="M20" s="98">
        <f t="shared" si="8"/>
        <v>0.37165674484207045</v>
      </c>
      <c r="N20" s="66">
        <f t="shared" si="9"/>
        <v>1.3716567448420705</v>
      </c>
      <c r="O20" s="99">
        <v>-9</v>
      </c>
      <c r="P20" s="33">
        <f t="shared" si="13"/>
        <v>-59.37165674484207</v>
      </c>
      <c r="Q20" s="97">
        <f t="shared" si="14"/>
        <v>1.1556712930710307E-6</v>
      </c>
      <c r="R20" s="34">
        <v>-10</v>
      </c>
      <c r="S20" s="33">
        <f t="shared" si="15"/>
        <v>-60.37165674484207</v>
      </c>
      <c r="T20" s="97">
        <f t="shared" si="4"/>
        <v>9.179823381466406E-7</v>
      </c>
      <c r="U20" s="34">
        <v>-11</v>
      </c>
      <c r="V20" s="33">
        <f t="shared" si="16"/>
        <v>-61.37165674484207</v>
      </c>
      <c r="W20" s="97">
        <f t="shared" si="17"/>
        <v>7.2917929016809018E-7</v>
      </c>
      <c r="X20" s="34">
        <v>-11</v>
      </c>
      <c r="Y20" s="33">
        <f t="shared" si="2"/>
        <v>-61.37165674484207</v>
      </c>
      <c r="Z20" s="97">
        <f t="shared" si="3"/>
        <v>7.2917929016809018E-7</v>
      </c>
    </row>
    <row r="21" spans="2:26" x14ac:dyDescent="0.2">
      <c r="B21" s="13">
        <v>2500</v>
      </c>
      <c r="C21" s="33">
        <f>'3º Alta Frec'!H22</f>
        <v>46.628162258463888</v>
      </c>
      <c r="D21" s="33">
        <f>'3º Alta Frec'!R22</f>
        <v>44.991619436750305</v>
      </c>
      <c r="E21" s="34">
        <f t="shared" si="0"/>
        <v>2</v>
      </c>
      <c r="F21" s="112">
        <f t="shared" si="5"/>
        <v>45.733255794451793</v>
      </c>
      <c r="G21" s="13">
        <v>56</v>
      </c>
      <c r="H21" s="18">
        <f t="shared" si="10"/>
        <v>51</v>
      </c>
      <c r="I21" s="18">
        <f t="shared" si="11"/>
        <v>50</v>
      </c>
      <c r="J21" s="18">
        <f t="shared" si="12"/>
        <v>49</v>
      </c>
      <c r="K21" s="79">
        <f t="shared" si="6"/>
        <v>0</v>
      </c>
      <c r="L21" s="33">
        <f t="shared" si="7"/>
        <v>0</v>
      </c>
      <c r="M21" s="98">
        <f t="shared" si="8"/>
        <v>0</v>
      </c>
      <c r="N21" s="66">
        <f t="shared" si="9"/>
        <v>0</v>
      </c>
      <c r="O21" s="99">
        <v>-9</v>
      </c>
      <c r="P21" s="33">
        <f t="shared" si="13"/>
        <v>-54.733255794451793</v>
      </c>
      <c r="Q21" s="97">
        <f t="shared" si="14"/>
        <v>3.3625938981243613E-6</v>
      </c>
      <c r="R21" s="34">
        <v>-10</v>
      </c>
      <c r="S21" s="33">
        <f t="shared" si="15"/>
        <v>-55.733255794451793</v>
      </c>
      <c r="T21" s="97">
        <f t="shared" si="4"/>
        <v>2.6710032751917624E-6</v>
      </c>
      <c r="U21" s="34">
        <v>-13</v>
      </c>
      <c r="V21" s="33">
        <f t="shared" si="16"/>
        <v>-58.733255794451793</v>
      </c>
      <c r="W21" s="97">
        <f t="shared" si="17"/>
        <v>1.3386727425027446E-6</v>
      </c>
      <c r="X21" s="34">
        <v>-13</v>
      </c>
      <c r="Y21" s="33">
        <f t="shared" si="2"/>
        <v>-58.733255794451793</v>
      </c>
      <c r="Z21" s="97">
        <f t="shared" si="3"/>
        <v>1.3386727425027446E-6</v>
      </c>
    </row>
    <row r="22" spans="2:26" x14ac:dyDescent="0.2">
      <c r="B22" s="13">
        <v>3150</v>
      </c>
      <c r="C22" s="33">
        <f>'3º Alta Frec'!H23</f>
        <v>42.404705309151787</v>
      </c>
      <c r="D22" s="33">
        <f>'3º Alta Frec'!R23</f>
        <v>40.609525099021475</v>
      </c>
      <c r="E22" s="34">
        <f t="shared" si="0"/>
        <v>2</v>
      </c>
      <c r="F22" s="112">
        <f t="shared" si="5"/>
        <v>41.415012178196434</v>
      </c>
      <c r="G22" s="13">
        <v>56</v>
      </c>
      <c r="H22" s="18">
        <f t="shared" si="10"/>
        <v>51</v>
      </c>
      <c r="I22" s="18">
        <f t="shared" si="11"/>
        <v>50</v>
      </c>
      <c r="J22" s="18">
        <f t="shared" si="12"/>
        <v>49</v>
      </c>
      <c r="K22" s="79">
        <f t="shared" si="6"/>
        <v>0</v>
      </c>
      <c r="L22" s="33">
        <f t="shared" si="7"/>
        <v>0</v>
      </c>
      <c r="M22" s="98">
        <f t="shared" si="8"/>
        <v>0</v>
      </c>
      <c r="N22" s="66">
        <f t="shared" si="9"/>
        <v>0</v>
      </c>
      <c r="O22" s="99">
        <v>-9</v>
      </c>
      <c r="P22" s="33">
        <f t="shared" si="13"/>
        <v>-50.415012178196434</v>
      </c>
      <c r="Q22" s="97">
        <f t="shared" si="14"/>
        <v>9.0886375048685376E-6</v>
      </c>
      <c r="R22" s="34">
        <v>-10</v>
      </c>
      <c r="S22" s="33">
        <f t="shared" si="15"/>
        <v>-51.415012178196434</v>
      </c>
      <c r="T22" s="97">
        <f t="shared" si="4"/>
        <v>7.2193613852911293E-6</v>
      </c>
      <c r="U22" s="34">
        <v>-15</v>
      </c>
      <c r="V22" s="33">
        <f t="shared" si="16"/>
        <v>-56.415012178196434</v>
      </c>
      <c r="W22" s="97">
        <f t="shared" si="17"/>
        <v>2.2829625229388371E-6</v>
      </c>
      <c r="X22" s="34">
        <v>-15</v>
      </c>
      <c r="Y22" s="33">
        <f t="shared" si="2"/>
        <v>-56.415012178196434</v>
      </c>
      <c r="Z22" s="97">
        <f t="shared" si="3"/>
        <v>2.2829625229388371E-6</v>
      </c>
    </row>
    <row r="23" spans="2:26" x14ac:dyDescent="0.2">
      <c r="B23" s="13">
        <v>4000</v>
      </c>
      <c r="C23" s="33">
        <f>'3º Alta Frec'!H24</f>
        <v>43.579631039541503</v>
      </c>
      <c r="D23" s="33">
        <f>'3º Alta Frec'!R24</f>
        <v>42.535711524702556</v>
      </c>
      <c r="E23" s="34">
        <f t="shared" si="0"/>
        <v>2</v>
      </c>
      <c r="F23" s="112">
        <f t="shared" si="5"/>
        <v>43.026380461112993</v>
      </c>
      <c r="G23" s="13"/>
      <c r="H23" s="18"/>
      <c r="I23" s="18"/>
      <c r="J23" s="18"/>
      <c r="K23" s="13"/>
      <c r="L23" s="18"/>
      <c r="M23" s="95"/>
      <c r="N23" s="96"/>
      <c r="O23" s="99"/>
      <c r="P23" s="18"/>
      <c r="Q23" s="97"/>
      <c r="R23" s="34">
        <v>-10</v>
      </c>
      <c r="S23" s="33">
        <f t="shared" si="15"/>
        <v>-53.026380461112993</v>
      </c>
      <c r="T23" s="97">
        <f t="shared" si="4"/>
        <v>4.981520867261009E-6</v>
      </c>
      <c r="U23" s="18"/>
      <c r="V23" s="18"/>
      <c r="W23" s="97"/>
      <c r="X23" s="34">
        <v>-16</v>
      </c>
      <c r="Y23" s="33">
        <f t="shared" si="2"/>
        <v>-59.026380461112993</v>
      </c>
      <c r="Z23" s="97">
        <f t="shared" si="3"/>
        <v>1.251301467475477E-6</v>
      </c>
    </row>
    <row r="24" spans="2:26" x14ac:dyDescent="0.2">
      <c r="B24" s="15">
        <v>5000</v>
      </c>
      <c r="C24" s="23">
        <f>'3º Alta Frec'!H25</f>
        <v>48.64059499547006</v>
      </c>
      <c r="D24" s="23">
        <f>'3º Alta Frec'!R25</f>
        <v>48.006119233881819</v>
      </c>
      <c r="E24" s="24">
        <f t="shared" si="0"/>
        <v>2</v>
      </c>
      <c r="F24" s="113">
        <f t="shared" si="5"/>
        <v>48.31178081047355</v>
      </c>
      <c r="G24" s="15"/>
      <c r="H24" s="16"/>
      <c r="I24" s="16"/>
      <c r="J24" s="16"/>
      <c r="K24" s="13"/>
      <c r="L24" s="18"/>
      <c r="M24" s="95"/>
      <c r="N24" s="96"/>
      <c r="O24" s="13"/>
      <c r="P24" s="18"/>
      <c r="Q24" s="97"/>
      <c r="R24" s="34">
        <v>-10</v>
      </c>
      <c r="S24" s="33">
        <f t="shared" si="15"/>
        <v>-58.31178081047355</v>
      </c>
      <c r="T24" s="97">
        <f t="shared" si="4"/>
        <v>1.4751015486303322E-6</v>
      </c>
      <c r="U24" s="18"/>
      <c r="V24" s="18"/>
      <c r="W24" s="97"/>
      <c r="X24" s="34">
        <v>-18</v>
      </c>
      <c r="Y24" s="33">
        <f t="shared" si="2"/>
        <v>-66.31178081047355</v>
      </c>
      <c r="Z24" s="97">
        <f t="shared" si="3"/>
        <v>2.3378784026130612E-7</v>
      </c>
    </row>
    <row r="25" spans="2:26" x14ac:dyDescent="0.2">
      <c r="K25" s="80">
        <f>SUM(K7:K22)</f>
        <v>4.7153187105132872</v>
      </c>
      <c r="L25" s="23">
        <f t="shared" ref="L25:N25" si="18">SUM(L7:L22)</f>
        <v>22.617568678587517</v>
      </c>
      <c r="M25" s="102">
        <f t="shared" si="18"/>
        <v>31.799169049062897</v>
      </c>
      <c r="N25" s="59">
        <f t="shared" si="18"/>
        <v>42.799169049062897</v>
      </c>
      <c r="O25" s="79" t="s">
        <v>131</v>
      </c>
      <c r="P25" s="33">
        <f>52-6</f>
        <v>46</v>
      </c>
      <c r="Q25" s="103">
        <f>-10*LOG10(SUM(Q4:Q24))</f>
        <v>45.294723315502338</v>
      </c>
      <c r="R25" s="34"/>
      <c r="S25" s="33"/>
      <c r="T25" s="103">
        <f>-10*LOG10(SUM(T4:T24))</f>
        <v>44.875187561420873</v>
      </c>
      <c r="U25" s="33"/>
      <c r="V25" s="33"/>
      <c r="W25" s="104">
        <f>-10*LOG10(SUM(W4:W24))</f>
        <v>44.50340013262111</v>
      </c>
      <c r="X25" s="34"/>
      <c r="Y25" s="33"/>
      <c r="Z25" s="103">
        <f>-10*LOG10(SUM(Z4:Z24))</f>
        <v>39.856448433628685</v>
      </c>
    </row>
    <row r="26" spans="2:26" x14ac:dyDescent="0.2">
      <c r="O26" s="15"/>
      <c r="P26" s="16"/>
      <c r="Q26" s="114">
        <f>ROUND(Q25,0)-P25</f>
        <v>-1</v>
      </c>
      <c r="R26" s="16"/>
      <c r="S26" s="16"/>
      <c r="T26" s="114">
        <f>ROUND(T25,0)-P25</f>
        <v>-1</v>
      </c>
      <c r="U26" s="16"/>
      <c r="V26" s="16"/>
      <c r="W26" s="114">
        <f>ROUND(W25,0)-P25</f>
        <v>-1</v>
      </c>
      <c r="X26" s="16"/>
      <c r="Y26" s="16"/>
      <c r="Z26" s="118">
        <f>ROUND(Z25,0)-P25</f>
        <v>-6</v>
      </c>
    </row>
    <row r="27" spans="2:26" x14ac:dyDescent="0.2">
      <c r="O27" s="18"/>
      <c r="P27" s="18"/>
      <c r="Q27" s="34"/>
      <c r="R27" s="18"/>
      <c r="S27" s="18"/>
      <c r="T27" s="34"/>
      <c r="U27" s="18"/>
      <c r="V27" s="18"/>
      <c r="W27" s="34"/>
      <c r="X27" s="18"/>
      <c r="Y27" s="18"/>
      <c r="Z27" s="34"/>
    </row>
    <row r="28" spans="2:26" x14ac:dyDescent="0.2">
      <c r="E28" s="2" t="s">
        <v>93</v>
      </c>
      <c r="O28" s="18"/>
      <c r="P28" s="18"/>
      <c r="Q28" s="34"/>
      <c r="R28" s="18"/>
      <c r="S28" s="18"/>
      <c r="T28" s="34"/>
      <c r="U28" s="18"/>
      <c r="V28" s="18"/>
      <c r="W28" s="34"/>
      <c r="X28" s="18"/>
      <c r="Y28" s="18"/>
      <c r="Z28" s="34"/>
    </row>
    <row r="29" spans="2:26" x14ac:dyDescent="0.2">
      <c r="O29" s="18"/>
      <c r="P29" s="18"/>
      <c r="Q29" s="34"/>
      <c r="R29" s="18"/>
      <c r="S29" s="18"/>
      <c r="T29" s="34"/>
      <c r="U29" s="18"/>
      <c r="V29" s="18"/>
      <c r="W29" s="34"/>
      <c r="X29" s="18"/>
      <c r="Y29" s="18"/>
      <c r="Z29" s="34"/>
    </row>
    <row r="30" spans="2:26" x14ac:dyDescent="0.2">
      <c r="F30" s="172" t="s">
        <v>43</v>
      </c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4"/>
    </row>
    <row r="31" spans="2:26" x14ac:dyDescent="0.2">
      <c r="B31" s="43" t="s">
        <v>43</v>
      </c>
      <c r="C31" s="44"/>
      <c r="D31" s="44"/>
      <c r="E31" s="44"/>
      <c r="F31" s="184"/>
      <c r="G31" s="162" t="s">
        <v>96</v>
      </c>
      <c r="H31" s="163"/>
      <c r="I31" s="163"/>
      <c r="J31" s="163"/>
      <c r="K31" s="186" t="s">
        <v>95</v>
      </c>
      <c r="L31" s="187"/>
      <c r="M31" s="187"/>
      <c r="N31" s="188"/>
      <c r="O31" s="189" t="s">
        <v>99</v>
      </c>
      <c r="P31" s="190"/>
      <c r="Q31" s="191"/>
      <c r="R31" s="192" t="s">
        <v>97</v>
      </c>
      <c r="S31" s="192"/>
      <c r="T31" s="193"/>
      <c r="U31" s="190" t="s">
        <v>100</v>
      </c>
      <c r="V31" s="190"/>
      <c r="W31" s="191"/>
      <c r="X31" s="192" t="s">
        <v>98</v>
      </c>
      <c r="Y31" s="192"/>
      <c r="Z31" s="193"/>
    </row>
    <row r="32" spans="2:26" ht="31" customHeight="1" x14ac:dyDescent="0.2">
      <c r="B32" s="28"/>
      <c r="C32" s="29"/>
      <c r="D32" s="29"/>
      <c r="E32" s="29"/>
      <c r="F32" s="185"/>
      <c r="G32" s="15" t="s">
        <v>94</v>
      </c>
      <c r="H32" s="16" t="s">
        <v>120</v>
      </c>
      <c r="I32" s="107" t="s">
        <v>121</v>
      </c>
      <c r="J32" s="16" t="s">
        <v>122</v>
      </c>
      <c r="K32" s="15" t="s">
        <v>94</v>
      </c>
      <c r="L32" s="16" t="s">
        <v>120</v>
      </c>
      <c r="M32" s="107" t="s">
        <v>121</v>
      </c>
      <c r="N32" s="16" t="s">
        <v>122</v>
      </c>
      <c r="O32" s="142" t="s">
        <v>126</v>
      </c>
      <c r="P32" s="143"/>
      <c r="Q32" s="145"/>
      <c r="R32" s="144" t="s">
        <v>126</v>
      </c>
      <c r="S32" s="144"/>
      <c r="T32" s="145"/>
      <c r="U32" s="144" t="s">
        <v>126</v>
      </c>
      <c r="V32" s="143"/>
      <c r="W32" s="145"/>
      <c r="X32" s="144" t="s">
        <v>126</v>
      </c>
      <c r="Y32" s="144"/>
      <c r="Z32" s="145"/>
    </row>
    <row r="33" spans="2:26" x14ac:dyDescent="0.2">
      <c r="B33" s="13">
        <v>50</v>
      </c>
      <c r="C33" s="33">
        <f>'3º Alta Frec'!H31</f>
        <v>13.072295537469916</v>
      </c>
      <c r="D33" s="33">
        <f>'3º Alta Frec'!R31</f>
        <v>21.506907111020713</v>
      </c>
      <c r="E33" s="34">
        <f t="shared" ref="E33:E53" si="19">COUNT(C33:D33)</f>
        <v>2</v>
      </c>
      <c r="F33" s="111">
        <v>11.432041663653202</v>
      </c>
      <c r="G33" s="13"/>
      <c r="H33" s="18"/>
      <c r="I33" s="18"/>
      <c r="J33" s="18"/>
      <c r="K33" s="13"/>
      <c r="L33" s="18"/>
      <c r="M33" s="95"/>
      <c r="N33" s="96"/>
      <c r="O33" s="13"/>
      <c r="P33" s="18"/>
      <c r="Q33" s="97"/>
      <c r="R33" s="34">
        <v>-41</v>
      </c>
      <c r="S33" s="33">
        <f>R33-F33</f>
        <v>-52.432041663653202</v>
      </c>
      <c r="T33" s="97">
        <f>10^(S33/10)</f>
        <v>5.7121004174424308E-6</v>
      </c>
      <c r="U33" s="18"/>
      <c r="V33" s="18"/>
      <c r="W33" s="97"/>
      <c r="X33" s="34">
        <v>-25</v>
      </c>
      <c r="Y33" s="33">
        <f t="shared" ref="Y33:Y35" si="20">X33-F33</f>
        <v>-36.432041663653202</v>
      </c>
      <c r="Z33" s="97">
        <f t="shared" ref="Z33:Z53" si="21">10^(Y33/10)</f>
        <v>2.2740281351054577E-4</v>
      </c>
    </row>
    <row r="34" spans="2:26" x14ac:dyDescent="0.2">
      <c r="B34" s="13">
        <v>63</v>
      </c>
      <c r="C34" s="33">
        <f>'3º Alta Frec'!H32</f>
        <v>9.935583298234242</v>
      </c>
      <c r="D34" s="33">
        <f>'3º Alta Frec'!R32</f>
        <v>32.517054577303959</v>
      </c>
      <c r="E34" s="34">
        <f t="shared" si="19"/>
        <v>2</v>
      </c>
      <c r="F34" s="112">
        <v>16.105919316793603</v>
      </c>
      <c r="G34" s="13"/>
      <c r="H34" s="18"/>
      <c r="I34" s="18"/>
      <c r="J34" s="18"/>
      <c r="K34" s="13"/>
      <c r="L34" s="18"/>
      <c r="M34" s="95"/>
      <c r="N34" s="96"/>
      <c r="O34" s="13"/>
      <c r="P34" s="18"/>
      <c r="Q34" s="97"/>
      <c r="R34" s="34">
        <v>-37</v>
      </c>
      <c r="S34" s="33">
        <f t="shared" ref="S34:S35" si="22">R34-F34</f>
        <v>-53.105919316793603</v>
      </c>
      <c r="T34" s="97">
        <f t="shared" ref="T34:T53" si="23">10^(S34/10)</f>
        <v>4.8911171875517008E-6</v>
      </c>
      <c r="U34" s="18"/>
      <c r="V34" s="18"/>
      <c r="W34" s="97"/>
      <c r="X34" s="34">
        <v>-23</v>
      </c>
      <c r="Y34" s="33">
        <f>X34-F34</f>
        <v>-39.105919316793603</v>
      </c>
      <c r="Z34" s="97">
        <f t="shared" si="21"/>
        <v>1.2285930898334405E-4</v>
      </c>
    </row>
    <row r="35" spans="2:26" x14ac:dyDescent="0.2">
      <c r="B35" s="13">
        <v>80</v>
      </c>
      <c r="C35" s="33">
        <f>'3º Alta Frec'!H33</f>
        <v>8.7116922393759957</v>
      </c>
      <c r="D35" s="33">
        <f>'3º Alta Frec'!R33</f>
        <v>17.187800656621281</v>
      </c>
      <c r="E35" s="34">
        <f t="shared" si="19"/>
        <v>2</v>
      </c>
      <c r="F35" s="112">
        <v>4.5766716323884173</v>
      </c>
      <c r="G35" s="13"/>
      <c r="H35" s="18"/>
      <c r="I35" s="18"/>
      <c r="J35" s="18"/>
      <c r="K35" s="13"/>
      <c r="L35" s="18"/>
      <c r="M35" s="95"/>
      <c r="N35" s="96"/>
      <c r="O35" s="13"/>
      <c r="P35" s="18"/>
      <c r="Q35" s="97"/>
      <c r="R35" s="34">
        <v>-34</v>
      </c>
      <c r="S35" s="33">
        <f t="shared" si="22"/>
        <v>-38.576671632388418</v>
      </c>
      <c r="T35" s="97">
        <f t="shared" si="23"/>
        <v>1.3878190250455092E-4</v>
      </c>
      <c r="U35" s="18"/>
      <c r="V35" s="18"/>
      <c r="W35" s="97"/>
      <c r="X35" s="34">
        <v>-21</v>
      </c>
      <c r="Y35" s="33">
        <f t="shared" si="20"/>
        <v>-25.576671632388418</v>
      </c>
      <c r="Z35" s="97">
        <f t="shared" si="21"/>
        <v>2.7690630006701536E-3</v>
      </c>
    </row>
    <row r="36" spans="2:26" x14ac:dyDescent="0.2">
      <c r="B36" s="13">
        <v>100</v>
      </c>
      <c r="C36" s="33">
        <f>'3º Alta Frec'!H34</f>
        <v>20.04919563799481</v>
      </c>
      <c r="D36" s="33">
        <f>'3º Alta Frec'!R34</f>
        <v>23.998454268398245</v>
      </c>
      <c r="E36" s="34">
        <f t="shared" si="19"/>
        <v>2</v>
      </c>
      <c r="F36" s="112">
        <f t="shared" ref="F36:F53" si="24">-10*LOG10((10^(-C36/10)+10^(-D36/10))/E36)</f>
        <v>21.589582025968213</v>
      </c>
      <c r="G36" s="13">
        <v>33</v>
      </c>
      <c r="H36" s="18">
        <f>G36-26</f>
        <v>7</v>
      </c>
      <c r="I36" s="18">
        <f>G36-27</f>
        <v>6</v>
      </c>
      <c r="J36" s="18">
        <f>G36-28</f>
        <v>5</v>
      </c>
      <c r="K36" s="79">
        <f t="shared" ref="K36:K51" si="25">IF((F36-G36)&gt;0,F36-G36,0)</f>
        <v>0</v>
      </c>
      <c r="L36" s="33">
        <f t="shared" ref="L36:L51" si="26">IF((F36-H36)&gt;0,F36-H36,0)</f>
        <v>14.589582025968213</v>
      </c>
      <c r="M36" s="98">
        <f t="shared" ref="M36:M51" si="27">IF((F36-I36)&gt;0,F36-I36,0)</f>
        <v>15.589582025968213</v>
      </c>
      <c r="N36" s="66">
        <f t="shared" ref="N36:N51" si="28">IF((F36-J36)&gt;0,F36-J36,0)</f>
        <v>16.589582025968213</v>
      </c>
      <c r="O36" s="99">
        <v>-29</v>
      </c>
      <c r="P36" s="33">
        <f>O36-F36</f>
        <v>-50.589582025968213</v>
      </c>
      <c r="Q36" s="97">
        <f>10^(P36/10)</f>
        <v>8.7305538900928366E-6</v>
      </c>
      <c r="R36" s="34">
        <v>-30</v>
      </c>
      <c r="S36" s="33">
        <f>R36-F36</f>
        <v>-51.589582025968213</v>
      </c>
      <c r="T36" s="97">
        <f>10^(S36/10)</f>
        <v>6.9349254596826599E-6</v>
      </c>
      <c r="U36" s="34">
        <v>-20</v>
      </c>
      <c r="V36" s="33">
        <f>U36-F36</f>
        <v>-41.589582025968213</v>
      </c>
      <c r="W36" s="97">
        <f>10^(V36/10)</f>
        <v>6.9349254596826548E-5</v>
      </c>
      <c r="X36" s="34">
        <v>-20</v>
      </c>
      <c r="Y36" s="33">
        <f>X36-F36</f>
        <v>-41.589582025968213</v>
      </c>
      <c r="Z36" s="97">
        <f>10^(Y36/10)</f>
        <v>6.9349254596826548E-5</v>
      </c>
    </row>
    <row r="37" spans="2:26" x14ac:dyDescent="0.2">
      <c r="B37" s="13">
        <v>125</v>
      </c>
      <c r="C37" s="33">
        <f>'3º Alta Frec'!H35</f>
        <v>16.320839182676902</v>
      </c>
      <c r="D37" s="33">
        <f>'3º Alta Frec'!R35</f>
        <v>23.955603404422344</v>
      </c>
      <c r="E37" s="34">
        <f t="shared" si="19"/>
        <v>2</v>
      </c>
      <c r="F37" s="112">
        <f t="shared" si="24"/>
        <v>18.640401163043414</v>
      </c>
      <c r="G37" s="13">
        <v>36</v>
      </c>
      <c r="H37" s="18">
        <f t="shared" ref="H37:H51" si="29">G37-26</f>
        <v>10</v>
      </c>
      <c r="I37" s="18">
        <f t="shared" ref="I37:I51" si="30">G37-27</f>
        <v>9</v>
      </c>
      <c r="J37" s="18">
        <f t="shared" ref="J37:J51" si="31">G37-28</f>
        <v>8</v>
      </c>
      <c r="K37" s="79">
        <f t="shared" si="25"/>
        <v>0</v>
      </c>
      <c r="L37" s="33">
        <f t="shared" si="26"/>
        <v>8.6404011630434141</v>
      </c>
      <c r="M37" s="98">
        <f t="shared" si="27"/>
        <v>9.6404011630434141</v>
      </c>
      <c r="N37" s="66">
        <f t="shared" si="28"/>
        <v>10.640401163043414</v>
      </c>
      <c r="O37" s="99">
        <v>-26</v>
      </c>
      <c r="P37" s="33">
        <f t="shared" ref="P37:P51" si="32">O37-F37</f>
        <v>-44.640401163043414</v>
      </c>
      <c r="Q37" s="97">
        <f t="shared" ref="Q37:Q51" si="33">10^(P37/10)</f>
        <v>3.4352621450410723E-5</v>
      </c>
      <c r="R37" s="34">
        <v>-27</v>
      </c>
      <c r="S37" s="33">
        <f t="shared" ref="S37:S53" si="34">R37-F37</f>
        <v>-45.640401163043414</v>
      </c>
      <c r="T37" s="97">
        <f t="shared" si="23"/>
        <v>2.7287257154856211E-5</v>
      </c>
      <c r="U37" s="34">
        <v>-20</v>
      </c>
      <c r="V37" s="33">
        <f>U37-F37</f>
        <v>-38.640401163043414</v>
      </c>
      <c r="W37" s="97">
        <f t="shared" ref="W37:W51" si="35">10^(V37/10)</f>
        <v>1.3676024926718384E-4</v>
      </c>
      <c r="X37" s="34">
        <v>-20</v>
      </c>
      <c r="Y37" s="33">
        <f t="shared" ref="Y37:Y53" si="36">X37-F37</f>
        <v>-38.640401163043414</v>
      </c>
      <c r="Z37" s="97">
        <f t="shared" si="21"/>
        <v>1.3676024926718384E-4</v>
      </c>
    </row>
    <row r="38" spans="2:26" x14ac:dyDescent="0.2">
      <c r="B38" s="13">
        <v>160</v>
      </c>
      <c r="C38" s="33">
        <f>'3º Alta Frec'!H36</f>
        <v>16.624435176013161</v>
      </c>
      <c r="D38" s="33">
        <f>'3º Alta Frec'!R36</f>
        <v>19.227486015762079</v>
      </c>
      <c r="E38" s="34">
        <f t="shared" si="19"/>
        <v>2</v>
      </c>
      <c r="F38" s="112">
        <f t="shared" si="24"/>
        <v>17.733786494601173</v>
      </c>
      <c r="G38" s="13">
        <v>39</v>
      </c>
      <c r="H38" s="18">
        <f t="shared" si="29"/>
        <v>13</v>
      </c>
      <c r="I38" s="18">
        <f t="shared" si="30"/>
        <v>12</v>
      </c>
      <c r="J38" s="18">
        <f t="shared" si="31"/>
        <v>11</v>
      </c>
      <c r="K38" s="79">
        <f t="shared" si="25"/>
        <v>0</v>
      </c>
      <c r="L38" s="33">
        <f t="shared" si="26"/>
        <v>4.7337864946011727</v>
      </c>
      <c r="M38" s="98">
        <f t="shared" si="27"/>
        <v>5.7337864946011727</v>
      </c>
      <c r="N38" s="66">
        <f t="shared" si="28"/>
        <v>6.7337864946011727</v>
      </c>
      <c r="O38" s="99">
        <v>-23</v>
      </c>
      <c r="P38" s="33">
        <f t="shared" si="32"/>
        <v>-40.733786494601176</v>
      </c>
      <c r="Q38" s="97">
        <f t="shared" si="33"/>
        <v>8.4454219087486815E-5</v>
      </c>
      <c r="R38" s="34">
        <v>-24</v>
      </c>
      <c r="S38" s="33">
        <f t="shared" si="34"/>
        <v>-41.733786494601176</v>
      </c>
      <c r="T38" s="97">
        <f t="shared" si="23"/>
        <v>6.7084370762781178E-5</v>
      </c>
      <c r="U38" s="34">
        <v>-18</v>
      </c>
      <c r="V38" s="33">
        <f t="shared" ref="V38:V51" si="37">U38-F38</f>
        <v>-35.733786494601176</v>
      </c>
      <c r="W38" s="97">
        <f t="shared" si="35"/>
        <v>2.6706769032732564E-4</v>
      </c>
      <c r="X38" s="34">
        <v>-18</v>
      </c>
      <c r="Y38" s="33">
        <f t="shared" si="36"/>
        <v>-35.733786494601176</v>
      </c>
      <c r="Z38" s="97">
        <f t="shared" si="21"/>
        <v>2.6706769032732564E-4</v>
      </c>
    </row>
    <row r="39" spans="2:26" x14ac:dyDescent="0.2">
      <c r="B39" s="13">
        <v>200</v>
      </c>
      <c r="C39" s="33">
        <f>'3º Alta Frec'!H37</f>
        <v>16.616465597271688</v>
      </c>
      <c r="D39" s="33">
        <f>'3º Alta Frec'!R37</f>
        <v>13.374115368729152</v>
      </c>
      <c r="E39" s="34">
        <f t="shared" si="19"/>
        <v>2</v>
      </c>
      <c r="F39" s="112">
        <f t="shared" si="24"/>
        <v>14.699483466531492</v>
      </c>
      <c r="G39" s="13">
        <v>42</v>
      </c>
      <c r="H39" s="18">
        <f t="shared" si="29"/>
        <v>16</v>
      </c>
      <c r="I39" s="18">
        <f t="shared" si="30"/>
        <v>15</v>
      </c>
      <c r="J39" s="18">
        <f t="shared" si="31"/>
        <v>14</v>
      </c>
      <c r="K39" s="79">
        <f t="shared" si="25"/>
        <v>0</v>
      </c>
      <c r="L39" s="33">
        <f t="shared" si="26"/>
        <v>0</v>
      </c>
      <c r="M39" s="98">
        <f t="shared" si="27"/>
        <v>0</v>
      </c>
      <c r="N39" s="66">
        <f t="shared" si="28"/>
        <v>0.69948346653149152</v>
      </c>
      <c r="O39" s="99">
        <v>-21</v>
      </c>
      <c r="P39" s="33">
        <f t="shared" si="32"/>
        <v>-35.69948346653149</v>
      </c>
      <c r="Q39" s="97">
        <f t="shared" si="33"/>
        <v>2.691854943957629E-4</v>
      </c>
      <c r="R39" s="34">
        <v>-22</v>
      </c>
      <c r="S39" s="33">
        <f t="shared" si="34"/>
        <v>-36.69948346653149</v>
      </c>
      <c r="T39" s="97">
        <f t="shared" si="23"/>
        <v>2.138216385767695E-4</v>
      </c>
      <c r="U39" s="34">
        <v>-16</v>
      </c>
      <c r="V39" s="33">
        <f t="shared" si="37"/>
        <v>-30.69948346653149</v>
      </c>
      <c r="W39" s="97">
        <f t="shared" si="35"/>
        <v>8.5123927536910192E-4</v>
      </c>
      <c r="X39" s="34">
        <v>-16</v>
      </c>
      <c r="Y39" s="33">
        <f t="shared" si="36"/>
        <v>-30.69948346653149</v>
      </c>
      <c r="Z39" s="97">
        <f t="shared" si="21"/>
        <v>8.5123927536910192E-4</v>
      </c>
    </row>
    <row r="40" spans="2:26" x14ac:dyDescent="0.2">
      <c r="B40" s="13">
        <v>250</v>
      </c>
      <c r="C40" s="33">
        <f>'3º Alta Frec'!H38</f>
        <v>18.662322965162947</v>
      </c>
      <c r="D40" s="33">
        <f>'3º Alta Frec'!R38</f>
        <v>10.677727586726252</v>
      </c>
      <c r="E40" s="34">
        <f t="shared" si="19"/>
        <v>2</v>
      </c>
      <c r="F40" s="112">
        <f t="shared" si="24"/>
        <v>13.046996514522071</v>
      </c>
      <c r="G40" s="100">
        <v>45</v>
      </c>
      <c r="H40" s="18">
        <f t="shared" si="29"/>
        <v>19</v>
      </c>
      <c r="I40" s="18">
        <f t="shared" si="30"/>
        <v>18</v>
      </c>
      <c r="J40" s="18">
        <f t="shared" si="31"/>
        <v>17</v>
      </c>
      <c r="K40" s="79">
        <f t="shared" si="25"/>
        <v>0</v>
      </c>
      <c r="L40" s="33">
        <f t="shared" si="26"/>
        <v>0</v>
      </c>
      <c r="M40" s="98">
        <f t="shared" si="27"/>
        <v>0</v>
      </c>
      <c r="N40" s="66">
        <f t="shared" si="28"/>
        <v>0</v>
      </c>
      <c r="O40" s="99">
        <v>-19</v>
      </c>
      <c r="P40" s="33">
        <f t="shared" si="32"/>
        <v>-32.046996514522071</v>
      </c>
      <c r="Q40" s="97">
        <f t="shared" si="33"/>
        <v>6.2416634602230987E-4</v>
      </c>
      <c r="R40" s="34">
        <v>-20</v>
      </c>
      <c r="S40" s="33">
        <f t="shared" si="34"/>
        <v>-33.046996514522071</v>
      </c>
      <c r="T40" s="97">
        <f t="shared" si="23"/>
        <v>4.957929518102065E-4</v>
      </c>
      <c r="U40" s="34">
        <v>-15</v>
      </c>
      <c r="V40" s="33">
        <f t="shared" si="37"/>
        <v>-28.046996514522071</v>
      </c>
      <c r="W40" s="97">
        <f t="shared" si="35"/>
        <v>1.5678349755783535E-3</v>
      </c>
      <c r="X40" s="34">
        <v>-15</v>
      </c>
      <c r="Y40" s="33">
        <f t="shared" si="36"/>
        <v>-28.046996514522071</v>
      </c>
      <c r="Z40" s="97">
        <f t="shared" si="21"/>
        <v>1.5678349755783535E-3</v>
      </c>
    </row>
    <row r="41" spans="2:26" x14ac:dyDescent="0.2">
      <c r="B41" s="13">
        <v>315</v>
      </c>
      <c r="C41" s="33">
        <f>'3º Alta Frec'!H39</f>
        <v>17.89290898843841</v>
      </c>
      <c r="D41" s="33">
        <f>'3º Alta Frec'!R39</f>
        <v>17.543689401553454</v>
      </c>
      <c r="E41" s="34">
        <f t="shared" si="19"/>
        <v>2</v>
      </c>
      <c r="F41" s="112">
        <f t="shared" si="24"/>
        <v>17.71479001277299</v>
      </c>
      <c r="G41" s="100">
        <v>48</v>
      </c>
      <c r="H41" s="18">
        <f t="shared" si="29"/>
        <v>22</v>
      </c>
      <c r="I41" s="18">
        <f t="shared" si="30"/>
        <v>21</v>
      </c>
      <c r="J41" s="18">
        <f t="shared" si="31"/>
        <v>20</v>
      </c>
      <c r="K41" s="79">
        <f t="shared" si="25"/>
        <v>0</v>
      </c>
      <c r="L41" s="33">
        <f t="shared" si="26"/>
        <v>0</v>
      </c>
      <c r="M41" s="98">
        <f t="shared" si="27"/>
        <v>0</v>
      </c>
      <c r="N41" s="66">
        <f t="shared" si="28"/>
        <v>0</v>
      </c>
      <c r="O41" s="99">
        <v>-17</v>
      </c>
      <c r="P41" s="33">
        <f t="shared" si="32"/>
        <v>-34.714790012772994</v>
      </c>
      <c r="Q41" s="97">
        <f t="shared" si="33"/>
        <v>3.3769217611850385E-4</v>
      </c>
      <c r="R41" s="34">
        <v>-18</v>
      </c>
      <c r="S41" s="33">
        <f t="shared" si="34"/>
        <v>-35.714790012772994</v>
      </c>
      <c r="T41" s="97">
        <f t="shared" si="23"/>
        <v>2.6823843013641234E-4</v>
      </c>
      <c r="U41" s="34">
        <v>-14</v>
      </c>
      <c r="V41" s="33">
        <f t="shared" si="37"/>
        <v>-31.71479001277299</v>
      </c>
      <c r="W41" s="97">
        <f t="shared" si="35"/>
        <v>6.7378447306908561E-4</v>
      </c>
      <c r="X41" s="34">
        <v>-14</v>
      </c>
      <c r="Y41" s="33">
        <f t="shared" si="36"/>
        <v>-31.71479001277299</v>
      </c>
      <c r="Z41" s="97">
        <f t="shared" si="21"/>
        <v>6.7378447306908561E-4</v>
      </c>
    </row>
    <row r="42" spans="2:26" x14ac:dyDescent="0.2">
      <c r="B42" s="13">
        <v>400</v>
      </c>
      <c r="C42" s="33">
        <f>'3º Alta Frec'!H40</f>
        <v>25.992050879110582</v>
      </c>
      <c r="D42" s="33">
        <f>'3º Alta Frec'!R40</f>
        <v>20.399050573042533</v>
      </c>
      <c r="E42" s="34">
        <f t="shared" si="19"/>
        <v>2</v>
      </c>
      <c r="F42" s="112">
        <f t="shared" si="24"/>
        <v>22.351296013174554</v>
      </c>
      <c r="G42" s="100">
        <v>51</v>
      </c>
      <c r="H42" s="18">
        <f t="shared" si="29"/>
        <v>25</v>
      </c>
      <c r="I42" s="18">
        <f t="shared" si="30"/>
        <v>24</v>
      </c>
      <c r="J42" s="18">
        <f t="shared" si="31"/>
        <v>23</v>
      </c>
      <c r="K42" s="79">
        <f t="shared" si="25"/>
        <v>0</v>
      </c>
      <c r="L42" s="33">
        <f t="shared" si="26"/>
        <v>0</v>
      </c>
      <c r="M42" s="98">
        <f t="shared" si="27"/>
        <v>0</v>
      </c>
      <c r="N42" s="66">
        <f t="shared" si="28"/>
        <v>0</v>
      </c>
      <c r="O42" s="99">
        <v>-15</v>
      </c>
      <c r="P42" s="33">
        <f t="shared" si="32"/>
        <v>-37.351296013174554</v>
      </c>
      <c r="Q42" s="97">
        <f t="shared" si="33"/>
        <v>1.8402227638117142E-4</v>
      </c>
      <c r="R42" s="34">
        <v>-16</v>
      </c>
      <c r="S42" s="33">
        <f t="shared" si="34"/>
        <v>-38.351296013174554</v>
      </c>
      <c r="T42" s="97">
        <f t="shared" si="23"/>
        <v>1.4617408994779962E-4</v>
      </c>
      <c r="U42" s="34">
        <v>-13</v>
      </c>
      <c r="V42" s="33">
        <f t="shared" si="37"/>
        <v>-35.351296013174554</v>
      </c>
      <c r="W42" s="97">
        <f t="shared" si="35"/>
        <v>2.9165565309771608E-4</v>
      </c>
      <c r="X42" s="34">
        <v>-13</v>
      </c>
      <c r="Y42" s="33">
        <f t="shared" si="36"/>
        <v>-35.351296013174554</v>
      </c>
      <c r="Z42" s="97">
        <f t="shared" si="21"/>
        <v>2.9165565309771608E-4</v>
      </c>
    </row>
    <row r="43" spans="2:26" x14ac:dyDescent="0.2">
      <c r="B43" s="13">
        <v>500</v>
      </c>
      <c r="C43" s="33">
        <f>'3º Alta Frec'!H41</f>
        <v>25.05303566509297</v>
      </c>
      <c r="D43" s="33">
        <f>'3º Alta Frec'!R41</f>
        <v>22.138761811915323</v>
      </c>
      <c r="E43" s="34">
        <f t="shared" si="19"/>
        <v>2</v>
      </c>
      <c r="F43" s="112">
        <f t="shared" si="24"/>
        <v>23.355903987534511</v>
      </c>
      <c r="G43" s="101">
        <v>52</v>
      </c>
      <c r="H43" s="18">
        <f t="shared" si="29"/>
        <v>26</v>
      </c>
      <c r="I43" s="95">
        <f t="shared" si="30"/>
        <v>25</v>
      </c>
      <c r="J43" s="18">
        <f t="shared" si="31"/>
        <v>24</v>
      </c>
      <c r="K43" s="79">
        <f t="shared" si="25"/>
        <v>0</v>
      </c>
      <c r="L43" s="33">
        <f t="shared" si="26"/>
        <v>0</v>
      </c>
      <c r="M43" s="98">
        <f t="shared" si="27"/>
        <v>0</v>
      </c>
      <c r="N43" s="66">
        <f t="shared" si="28"/>
        <v>0</v>
      </c>
      <c r="O43" s="99">
        <v>-13</v>
      </c>
      <c r="P43" s="33">
        <f t="shared" si="32"/>
        <v>-36.355903987534511</v>
      </c>
      <c r="Q43" s="97">
        <f t="shared" si="33"/>
        <v>2.3142464235816954E-4</v>
      </c>
      <c r="R43" s="34">
        <v>-14</v>
      </c>
      <c r="S43" s="33">
        <f t="shared" si="34"/>
        <v>-37.355903987534511</v>
      </c>
      <c r="T43" s="97">
        <f t="shared" si="23"/>
        <v>1.8382712763606316E-4</v>
      </c>
      <c r="U43" s="34">
        <v>-12</v>
      </c>
      <c r="V43" s="33">
        <f t="shared" si="37"/>
        <v>-35.355903987534511</v>
      </c>
      <c r="W43" s="97">
        <f t="shared" si="35"/>
        <v>2.9134636318007672E-4</v>
      </c>
      <c r="X43" s="34">
        <v>-12</v>
      </c>
      <c r="Y43" s="33">
        <f t="shared" si="36"/>
        <v>-35.355903987534511</v>
      </c>
      <c r="Z43" s="97">
        <f t="shared" si="21"/>
        <v>2.9134636318007672E-4</v>
      </c>
    </row>
    <row r="44" spans="2:26" x14ac:dyDescent="0.2">
      <c r="B44" s="13">
        <v>630</v>
      </c>
      <c r="C44" s="33">
        <f>'3º Alta Frec'!H42</f>
        <v>25.147401289638591</v>
      </c>
      <c r="D44" s="33">
        <f>'3º Alta Frec'!R42</f>
        <v>24.085824675311041</v>
      </c>
      <c r="E44" s="34">
        <f t="shared" si="19"/>
        <v>2</v>
      </c>
      <c r="F44" s="112">
        <f t="shared" si="24"/>
        <v>24.584257332057259</v>
      </c>
      <c r="G44" s="13">
        <v>53</v>
      </c>
      <c r="H44" s="18">
        <f t="shared" si="29"/>
        <v>27</v>
      </c>
      <c r="I44" s="18">
        <f t="shared" si="30"/>
        <v>26</v>
      </c>
      <c r="J44" s="18">
        <f t="shared" si="31"/>
        <v>25</v>
      </c>
      <c r="K44" s="79">
        <f t="shared" si="25"/>
        <v>0</v>
      </c>
      <c r="L44" s="33">
        <f t="shared" si="26"/>
        <v>0</v>
      </c>
      <c r="M44" s="98">
        <f t="shared" si="27"/>
        <v>0</v>
      </c>
      <c r="N44" s="66">
        <f t="shared" si="28"/>
        <v>0</v>
      </c>
      <c r="O44" s="99">
        <v>-12</v>
      </c>
      <c r="P44" s="33">
        <f t="shared" si="32"/>
        <v>-36.584257332057263</v>
      </c>
      <c r="Q44" s="97">
        <f t="shared" si="33"/>
        <v>2.1957063951561924E-4</v>
      </c>
      <c r="R44" s="34">
        <v>-13</v>
      </c>
      <c r="S44" s="33">
        <f t="shared" si="34"/>
        <v>-37.584257332057263</v>
      </c>
      <c r="T44" s="97">
        <f t="shared" si="23"/>
        <v>1.7441115848372359E-4</v>
      </c>
      <c r="U44" s="34">
        <v>-11</v>
      </c>
      <c r="V44" s="33">
        <f t="shared" si="37"/>
        <v>-35.584257332057263</v>
      </c>
      <c r="W44" s="97">
        <f t="shared" si="35"/>
        <v>2.7642305777010986E-4</v>
      </c>
      <c r="X44" s="34">
        <v>-11</v>
      </c>
      <c r="Y44" s="33">
        <f t="shared" si="36"/>
        <v>-35.584257332057263</v>
      </c>
      <c r="Z44" s="97">
        <f t="shared" si="21"/>
        <v>2.7642305777010986E-4</v>
      </c>
    </row>
    <row r="45" spans="2:26" x14ac:dyDescent="0.2">
      <c r="B45" s="13">
        <v>800</v>
      </c>
      <c r="C45" s="33">
        <f>'3º Alta Frec'!H43</f>
        <v>27.80777641093022</v>
      </c>
      <c r="D45" s="33">
        <f>'3º Alta Frec'!R43</f>
        <v>24.214778286408706</v>
      </c>
      <c r="E45" s="34">
        <f t="shared" si="19"/>
        <v>2</v>
      </c>
      <c r="F45" s="112">
        <f t="shared" si="24"/>
        <v>25.649845211970266</v>
      </c>
      <c r="G45" s="13">
        <v>54</v>
      </c>
      <c r="H45" s="18">
        <f t="shared" si="29"/>
        <v>28</v>
      </c>
      <c r="I45" s="18">
        <f t="shared" si="30"/>
        <v>27</v>
      </c>
      <c r="J45" s="18">
        <f t="shared" si="31"/>
        <v>26</v>
      </c>
      <c r="K45" s="79">
        <f t="shared" si="25"/>
        <v>0</v>
      </c>
      <c r="L45" s="33">
        <f t="shared" si="26"/>
        <v>0</v>
      </c>
      <c r="M45" s="98">
        <f t="shared" si="27"/>
        <v>0</v>
      </c>
      <c r="N45" s="66">
        <f t="shared" si="28"/>
        <v>0</v>
      </c>
      <c r="O45" s="99">
        <v>-11</v>
      </c>
      <c r="P45" s="33">
        <f t="shared" si="32"/>
        <v>-36.649845211970266</v>
      </c>
      <c r="Q45" s="97">
        <f t="shared" si="33"/>
        <v>2.1627956071160255E-4</v>
      </c>
      <c r="R45" s="34">
        <v>-12</v>
      </c>
      <c r="S45" s="33">
        <f t="shared" si="34"/>
        <v>-37.649845211970266</v>
      </c>
      <c r="T45" s="97">
        <f t="shared" si="23"/>
        <v>1.7179696166699017E-4</v>
      </c>
      <c r="U45" s="34">
        <v>-9</v>
      </c>
      <c r="V45" s="33">
        <f t="shared" si="37"/>
        <v>-34.649845211970266</v>
      </c>
      <c r="W45" s="97">
        <f t="shared" si="35"/>
        <v>3.4278000344029866E-4</v>
      </c>
      <c r="X45" s="34">
        <v>-9</v>
      </c>
      <c r="Y45" s="33">
        <f t="shared" si="36"/>
        <v>-34.649845211970266</v>
      </c>
      <c r="Z45" s="97">
        <f t="shared" si="21"/>
        <v>3.4278000344029866E-4</v>
      </c>
    </row>
    <row r="46" spans="2:26" x14ac:dyDescent="0.2">
      <c r="B46" s="13">
        <v>1000</v>
      </c>
      <c r="C46" s="33">
        <f>'3º Alta Frec'!H44</f>
        <v>28.022033626288547</v>
      </c>
      <c r="D46" s="33">
        <f>'3º Alta Frec'!R44</f>
        <v>23.403918645905449</v>
      </c>
      <c r="E46" s="34">
        <f t="shared" si="19"/>
        <v>2</v>
      </c>
      <c r="F46" s="112">
        <f t="shared" si="24"/>
        <v>25.126047910232359</v>
      </c>
      <c r="G46" s="13">
        <v>55</v>
      </c>
      <c r="H46" s="18">
        <f t="shared" si="29"/>
        <v>29</v>
      </c>
      <c r="I46" s="18">
        <f t="shared" si="30"/>
        <v>28</v>
      </c>
      <c r="J46" s="18">
        <f t="shared" si="31"/>
        <v>27</v>
      </c>
      <c r="K46" s="79">
        <f t="shared" si="25"/>
        <v>0</v>
      </c>
      <c r="L46" s="33">
        <f t="shared" si="26"/>
        <v>0</v>
      </c>
      <c r="M46" s="98">
        <f t="shared" si="27"/>
        <v>0</v>
      </c>
      <c r="N46" s="66">
        <f t="shared" si="28"/>
        <v>0</v>
      </c>
      <c r="O46" s="99">
        <v>-10</v>
      </c>
      <c r="P46" s="33">
        <f t="shared" si="32"/>
        <v>-35.126047910232359</v>
      </c>
      <c r="Q46" s="97">
        <f t="shared" si="33"/>
        <v>3.0718160765753021E-4</v>
      </c>
      <c r="R46" s="34">
        <v>-11</v>
      </c>
      <c r="S46" s="33">
        <f t="shared" si="34"/>
        <v>-36.126047910232359</v>
      </c>
      <c r="T46" s="97">
        <f t="shared" si="23"/>
        <v>2.4400302415037258E-4</v>
      </c>
      <c r="U46" s="34">
        <v>-8</v>
      </c>
      <c r="V46" s="33">
        <f t="shared" si="37"/>
        <v>-33.126047910232359</v>
      </c>
      <c r="W46" s="97">
        <f t="shared" si="35"/>
        <v>4.8685003882568056E-4</v>
      </c>
      <c r="X46" s="34">
        <v>-8</v>
      </c>
      <c r="Y46" s="33">
        <f t="shared" si="36"/>
        <v>-33.126047910232359</v>
      </c>
      <c r="Z46" s="97">
        <f t="shared" si="21"/>
        <v>4.8685003882568056E-4</v>
      </c>
    </row>
    <row r="47" spans="2:26" x14ac:dyDescent="0.2">
      <c r="B47" s="13">
        <v>1250</v>
      </c>
      <c r="C47" s="33">
        <f>'3º Alta Frec'!H45</f>
        <v>26.83839565539218</v>
      </c>
      <c r="D47" s="33">
        <f>'3º Alta Frec'!R45</f>
        <v>23.508541798709647</v>
      </c>
      <c r="E47" s="34">
        <f t="shared" si="19"/>
        <v>2</v>
      </c>
      <c r="F47" s="112">
        <f t="shared" si="24"/>
        <v>24.861856342746712</v>
      </c>
      <c r="G47" s="13">
        <v>56</v>
      </c>
      <c r="H47" s="18">
        <f t="shared" si="29"/>
        <v>30</v>
      </c>
      <c r="I47" s="18">
        <f t="shared" si="30"/>
        <v>29</v>
      </c>
      <c r="J47" s="18">
        <f t="shared" si="31"/>
        <v>28</v>
      </c>
      <c r="K47" s="79">
        <f t="shared" si="25"/>
        <v>0</v>
      </c>
      <c r="L47" s="33">
        <f t="shared" si="26"/>
        <v>0</v>
      </c>
      <c r="M47" s="98">
        <f t="shared" si="27"/>
        <v>0</v>
      </c>
      <c r="N47" s="66">
        <f t="shared" si="28"/>
        <v>0</v>
      </c>
      <c r="O47" s="99">
        <v>-9</v>
      </c>
      <c r="P47" s="33">
        <f t="shared" si="32"/>
        <v>-33.861856342746712</v>
      </c>
      <c r="Q47" s="97">
        <f t="shared" si="33"/>
        <v>4.1097401735060179E-4</v>
      </c>
      <c r="R47" s="34">
        <v>-10</v>
      </c>
      <c r="S47" s="33">
        <f t="shared" si="34"/>
        <v>-34.861856342746712</v>
      </c>
      <c r="T47" s="97">
        <f t="shared" si="23"/>
        <v>3.2644826571964975E-4</v>
      </c>
      <c r="U47" s="34">
        <v>-9</v>
      </c>
      <c r="V47" s="33">
        <f t="shared" si="37"/>
        <v>-33.861856342746712</v>
      </c>
      <c r="W47" s="97">
        <f t="shared" si="35"/>
        <v>4.1097401735060179E-4</v>
      </c>
      <c r="X47" s="34">
        <v>-9</v>
      </c>
      <c r="Y47" s="33">
        <f t="shared" si="36"/>
        <v>-33.861856342746712</v>
      </c>
      <c r="Z47" s="97">
        <f t="shared" si="21"/>
        <v>4.1097401735060179E-4</v>
      </c>
    </row>
    <row r="48" spans="2:26" x14ac:dyDescent="0.2">
      <c r="B48" s="13">
        <v>1600</v>
      </c>
      <c r="C48" s="33">
        <f>'3º Alta Frec'!H46</f>
        <v>27.196575672941787</v>
      </c>
      <c r="D48" s="33">
        <f>'3º Alta Frec'!R46</f>
        <v>23.79173908271461</v>
      </c>
      <c r="E48" s="34">
        <f t="shared" si="19"/>
        <v>2</v>
      </c>
      <c r="F48" s="112">
        <f t="shared" si="24"/>
        <v>25.168697316264215</v>
      </c>
      <c r="G48" s="13">
        <v>56</v>
      </c>
      <c r="H48" s="18">
        <f t="shared" si="29"/>
        <v>30</v>
      </c>
      <c r="I48" s="18">
        <f t="shared" si="30"/>
        <v>29</v>
      </c>
      <c r="J48" s="18">
        <f t="shared" si="31"/>
        <v>28</v>
      </c>
      <c r="K48" s="79">
        <f t="shared" si="25"/>
        <v>0</v>
      </c>
      <c r="L48" s="33">
        <f t="shared" si="26"/>
        <v>0</v>
      </c>
      <c r="M48" s="98">
        <f t="shared" si="27"/>
        <v>0</v>
      </c>
      <c r="N48" s="66">
        <f t="shared" si="28"/>
        <v>0</v>
      </c>
      <c r="O48" s="99">
        <v>-9</v>
      </c>
      <c r="P48" s="33">
        <f t="shared" si="32"/>
        <v>-34.168697316264215</v>
      </c>
      <c r="Q48" s="97">
        <f t="shared" si="33"/>
        <v>3.8293959035921106E-4</v>
      </c>
      <c r="R48" s="34">
        <v>-10</v>
      </c>
      <c r="S48" s="33">
        <f t="shared" si="34"/>
        <v>-35.168697316264215</v>
      </c>
      <c r="T48" s="97">
        <f t="shared" si="23"/>
        <v>3.0417972881607137E-4</v>
      </c>
      <c r="U48" s="34">
        <v>-10</v>
      </c>
      <c r="V48" s="33">
        <f t="shared" si="37"/>
        <v>-35.168697316264215</v>
      </c>
      <c r="W48" s="97">
        <f t="shared" si="35"/>
        <v>3.0417972881607137E-4</v>
      </c>
      <c r="X48" s="34">
        <v>-10</v>
      </c>
      <c r="Y48" s="33">
        <f t="shared" si="36"/>
        <v>-35.168697316264215</v>
      </c>
      <c r="Z48" s="97">
        <f t="shared" si="21"/>
        <v>3.0417972881607137E-4</v>
      </c>
    </row>
    <row r="49" spans="2:26" x14ac:dyDescent="0.2">
      <c r="B49" s="13">
        <v>2000</v>
      </c>
      <c r="C49" s="33">
        <f>'3º Alta Frec'!H47</f>
        <v>23.648595639022563</v>
      </c>
      <c r="D49" s="33">
        <f>'3º Alta Frec'!R47</f>
        <v>22.426499587782249</v>
      </c>
      <c r="E49" s="34">
        <f t="shared" si="19"/>
        <v>2</v>
      </c>
      <c r="F49" s="112">
        <f t="shared" si="24"/>
        <v>22.994701773494409</v>
      </c>
      <c r="G49" s="13">
        <v>56</v>
      </c>
      <c r="H49" s="18">
        <f t="shared" si="29"/>
        <v>30</v>
      </c>
      <c r="I49" s="18">
        <f t="shared" si="30"/>
        <v>29</v>
      </c>
      <c r="J49" s="18">
        <f t="shared" si="31"/>
        <v>28</v>
      </c>
      <c r="K49" s="79">
        <f t="shared" si="25"/>
        <v>0</v>
      </c>
      <c r="L49" s="33">
        <f t="shared" si="26"/>
        <v>0</v>
      </c>
      <c r="M49" s="98">
        <f t="shared" si="27"/>
        <v>0</v>
      </c>
      <c r="N49" s="66">
        <f t="shared" si="28"/>
        <v>0</v>
      </c>
      <c r="O49" s="99">
        <v>-9</v>
      </c>
      <c r="P49" s="33">
        <f t="shared" si="32"/>
        <v>-31.994701773494409</v>
      </c>
      <c r="Q49" s="97">
        <f t="shared" si="33"/>
        <v>6.3172755801820305E-4</v>
      </c>
      <c r="R49" s="34">
        <v>-10</v>
      </c>
      <c r="S49" s="33">
        <f t="shared" si="34"/>
        <v>-32.994701773494413</v>
      </c>
      <c r="T49" s="97">
        <f t="shared" si="23"/>
        <v>5.0179903598727949E-4</v>
      </c>
      <c r="U49" s="34">
        <v>-11</v>
      </c>
      <c r="V49" s="33">
        <f t="shared" si="37"/>
        <v>-33.994701773494413</v>
      </c>
      <c r="W49" s="97">
        <f t="shared" si="35"/>
        <v>3.9859314244212199E-4</v>
      </c>
      <c r="X49" s="34">
        <v>-11</v>
      </c>
      <c r="Y49" s="33">
        <f t="shared" si="36"/>
        <v>-33.994701773494413</v>
      </c>
      <c r="Z49" s="97">
        <f t="shared" si="21"/>
        <v>3.9859314244212199E-4</v>
      </c>
    </row>
    <row r="50" spans="2:26" x14ac:dyDescent="0.2">
      <c r="B50" s="13">
        <v>2500</v>
      </c>
      <c r="C50" s="33">
        <f>'3º Alta Frec'!H48</f>
        <v>19.563242877710653</v>
      </c>
      <c r="D50" s="33">
        <f>'3º Alta Frec'!R48</f>
        <v>20.523963965155676</v>
      </c>
      <c r="E50" s="34">
        <f t="shared" si="19"/>
        <v>2</v>
      </c>
      <c r="F50" s="112">
        <f t="shared" si="24"/>
        <v>20.017091768414694</v>
      </c>
      <c r="G50" s="13">
        <v>56</v>
      </c>
      <c r="H50" s="18">
        <f t="shared" si="29"/>
        <v>30</v>
      </c>
      <c r="I50" s="18">
        <f t="shared" si="30"/>
        <v>29</v>
      </c>
      <c r="J50" s="18">
        <f t="shared" si="31"/>
        <v>28</v>
      </c>
      <c r="K50" s="79">
        <f t="shared" si="25"/>
        <v>0</v>
      </c>
      <c r="L50" s="33">
        <f t="shared" si="26"/>
        <v>0</v>
      </c>
      <c r="M50" s="98">
        <f t="shared" si="27"/>
        <v>0</v>
      </c>
      <c r="N50" s="66">
        <f t="shared" si="28"/>
        <v>0</v>
      </c>
      <c r="O50" s="99">
        <v>-9</v>
      </c>
      <c r="P50" s="33">
        <f t="shared" si="32"/>
        <v>-29.017091768414694</v>
      </c>
      <c r="Q50" s="97">
        <f t="shared" si="33"/>
        <v>1.2539806157829811E-3</v>
      </c>
      <c r="R50" s="34">
        <v>-10</v>
      </c>
      <c r="S50" s="33">
        <f t="shared" si="34"/>
        <v>-30.017091768414694</v>
      </c>
      <c r="T50" s="97">
        <f t="shared" si="23"/>
        <v>9.9607220891336293E-4</v>
      </c>
      <c r="U50" s="34">
        <v>-13</v>
      </c>
      <c r="V50" s="33">
        <f t="shared" si="37"/>
        <v>-33.017091768414694</v>
      </c>
      <c r="W50" s="97">
        <f t="shared" si="35"/>
        <v>4.9921867487829491E-4</v>
      </c>
      <c r="X50" s="34">
        <v>-13</v>
      </c>
      <c r="Y50" s="33">
        <f t="shared" si="36"/>
        <v>-33.017091768414694</v>
      </c>
      <c r="Z50" s="97">
        <f t="shared" si="21"/>
        <v>4.9921867487829491E-4</v>
      </c>
    </row>
    <row r="51" spans="2:26" x14ac:dyDescent="0.2">
      <c r="B51" s="13">
        <v>3150</v>
      </c>
      <c r="C51" s="33">
        <f>'3º Alta Frec'!H49</f>
        <v>21.249868070572244</v>
      </c>
      <c r="D51" s="33">
        <f>'3º Alta Frec'!R49</f>
        <v>17.840259542595444</v>
      </c>
      <c r="E51" s="34">
        <f t="shared" si="19"/>
        <v>2</v>
      </c>
      <c r="F51" s="112">
        <f t="shared" si="24"/>
        <v>19.218713023777696</v>
      </c>
      <c r="G51" s="13">
        <v>56</v>
      </c>
      <c r="H51" s="18">
        <f t="shared" si="29"/>
        <v>30</v>
      </c>
      <c r="I51" s="18">
        <f t="shared" si="30"/>
        <v>29</v>
      </c>
      <c r="J51" s="18">
        <f t="shared" si="31"/>
        <v>28</v>
      </c>
      <c r="K51" s="79">
        <f t="shared" si="25"/>
        <v>0</v>
      </c>
      <c r="L51" s="33">
        <f t="shared" si="26"/>
        <v>0</v>
      </c>
      <c r="M51" s="98">
        <f t="shared" si="27"/>
        <v>0</v>
      </c>
      <c r="N51" s="66">
        <f t="shared" si="28"/>
        <v>0</v>
      </c>
      <c r="O51" s="99">
        <v>-9</v>
      </c>
      <c r="P51" s="33">
        <f t="shared" si="32"/>
        <v>-28.218713023777696</v>
      </c>
      <c r="Q51" s="97">
        <f t="shared" si="33"/>
        <v>1.5070535961045376E-3</v>
      </c>
      <c r="R51" s="34">
        <v>-10</v>
      </c>
      <c r="S51" s="33">
        <f t="shared" si="34"/>
        <v>-29.218713023777696</v>
      </c>
      <c r="T51" s="97">
        <f t="shared" si="23"/>
        <v>1.1970952226285987E-3</v>
      </c>
      <c r="U51" s="34">
        <v>-15</v>
      </c>
      <c r="V51" s="33">
        <f t="shared" si="37"/>
        <v>-34.218713023777696</v>
      </c>
      <c r="W51" s="97">
        <f t="shared" si="35"/>
        <v>3.785547479612709E-4</v>
      </c>
      <c r="X51" s="34">
        <v>-15</v>
      </c>
      <c r="Y51" s="33">
        <f t="shared" si="36"/>
        <v>-34.218713023777696</v>
      </c>
      <c r="Z51" s="97">
        <f t="shared" si="21"/>
        <v>3.785547479612709E-4</v>
      </c>
    </row>
    <row r="52" spans="2:26" x14ac:dyDescent="0.2">
      <c r="B52" s="13">
        <v>4000</v>
      </c>
      <c r="C52" s="33">
        <f>'3º Alta Frec'!H50</f>
        <v>23.771435353478481</v>
      </c>
      <c r="D52" s="33">
        <f>'3º Alta Frec'!R50</f>
        <v>19.272511832467345</v>
      </c>
      <c r="E52" s="34">
        <f t="shared" si="19"/>
        <v>2</v>
      </c>
      <c r="F52" s="112">
        <f t="shared" si="24"/>
        <v>20.963735043172484</v>
      </c>
      <c r="G52" s="13"/>
      <c r="H52" s="18"/>
      <c r="I52" s="18"/>
      <c r="J52" s="18"/>
      <c r="K52" s="13"/>
      <c r="L52" s="18"/>
      <c r="M52" s="95"/>
      <c r="N52" s="66"/>
      <c r="O52" s="99"/>
      <c r="P52" s="18"/>
      <c r="Q52" s="97"/>
      <c r="R52" s="34">
        <v>-10</v>
      </c>
      <c r="S52" s="33">
        <f t="shared" si="34"/>
        <v>-30.963735043172484</v>
      </c>
      <c r="T52" s="97">
        <f t="shared" si="23"/>
        <v>8.0098889622510377E-4</v>
      </c>
      <c r="U52" s="18"/>
      <c r="V52" s="18"/>
      <c r="W52" s="97"/>
      <c r="X52" s="34">
        <v>-16</v>
      </c>
      <c r="Y52" s="33">
        <f t="shared" si="36"/>
        <v>-36.963735043172484</v>
      </c>
      <c r="Z52" s="97">
        <f t="shared" si="21"/>
        <v>2.0119931402176722E-4</v>
      </c>
    </row>
    <row r="53" spans="2:26" x14ac:dyDescent="0.2">
      <c r="B53" s="15">
        <v>5000</v>
      </c>
      <c r="C53" s="23">
        <f>'3º Alta Frec'!H51</f>
        <v>24.508081153689435</v>
      </c>
      <c r="D53" s="23">
        <f>'3º Alta Frec'!R51</f>
        <v>21.758217398604874</v>
      </c>
      <c r="E53" s="24">
        <f t="shared" si="19"/>
        <v>2</v>
      </c>
      <c r="F53" s="113">
        <f t="shared" si="24"/>
        <v>22.919046006564781</v>
      </c>
      <c r="G53" s="15"/>
      <c r="H53" s="16"/>
      <c r="I53" s="16"/>
      <c r="J53" s="16"/>
      <c r="K53" s="13"/>
      <c r="L53" s="18"/>
      <c r="M53" s="95"/>
      <c r="N53" s="66"/>
      <c r="O53" s="13"/>
      <c r="P53" s="18"/>
      <c r="Q53" s="97"/>
      <c r="R53" s="34">
        <v>-10</v>
      </c>
      <c r="S53" s="33">
        <f t="shared" si="34"/>
        <v>-32.919046006564784</v>
      </c>
      <c r="T53" s="97">
        <f t="shared" si="23"/>
        <v>5.1061715242801823E-4</v>
      </c>
      <c r="U53" s="18"/>
      <c r="V53" s="18"/>
      <c r="W53" s="97"/>
      <c r="X53" s="34">
        <v>-18</v>
      </c>
      <c r="Y53" s="33">
        <f t="shared" si="36"/>
        <v>-40.919046006564784</v>
      </c>
      <c r="Z53" s="97">
        <f t="shared" si="21"/>
        <v>8.092736488370438E-5</v>
      </c>
    </row>
    <row r="54" spans="2:26" x14ac:dyDescent="0.2">
      <c r="K54" s="80">
        <f>SUM(K36:K51)</f>
        <v>0</v>
      </c>
      <c r="L54" s="23">
        <f t="shared" ref="L54:N54" si="38">SUM(L36:L51)</f>
        <v>27.963769683612799</v>
      </c>
      <c r="M54" s="102">
        <f t="shared" si="38"/>
        <v>30.963769683612799</v>
      </c>
      <c r="N54" s="59">
        <f t="shared" si="38"/>
        <v>34.663253150144286</v>
      </c>
      <c r="O54" s="79" t="s">
        <v>123</v>
      </c>
      <c r="P54" s="33">
        <f>52-27</f>
        <v>25</v>
      </c>
      <c r="Q54" s="103">
        <f>-10*LOG10(SUM(Q33:Q53))</f>
        <v>21.736831284101825</v>
      </c>
      <c r="R54" s="34"/>
      <c r="S54" s="33"/>
      <c r="T54" s="103">
        <f>-10*LOG10(SUM(T33:T53))</f>
        <v>21.683888603766238</v>
      </c>
      <c r="U54" s="33"/>
      <c r="V54" s="33"/>
      <c r="W54" s="103">
        <f>-10*LOG10(SUM(W33:W53))</f>
        <v>21.398650303647344</v>
      </c>
      <c r="X54" s="34"/>
      <c r="Y54" s="33"/>
      <c r="Z54" s="103">
        <f>-10*LOG10(SUM(Z33:Z53))</f>
        <v>19.727293819545086</v>
      </c>
    </row>
    <row r="55" spans="2:26" x14ac:dyDescent="0.2">
      <c r="O55" s="15"/>
      <c r="P55" s="16"/>
      <c r="Q55" s="114">
        <f>ROUND(Q54,0)-P54</f>
        <v>-3</v>
      </c>
      <c r="R55" s="16"/>
      <c r="S55" s="16"/>
      <c r="T55" s="114">
        <f>ROUND(T54,0)-P54</f>
        <v>-3</v>
      </c>
      <c r="U55" s="16"/>
      <c r="V55" s="16"/>
      <c r="W55" s="114">
        <f>ROUND(W54,0)-P54</f>
        <v>-4</v>
      </c>
      <c r="X55" s="16"/>
      <c r="Y55" s="16"/>
      <c r="Z55" s="114">
        <f>ROUND(Z54,0)-P54</f>
        <v>-5</v>
      </c>
    </row>
    <row r="56" spans="2:26" x14ac:dyDescent="0.2">
      <c r="O56" s="18"/>
      <c r="P56" s="18"/>
      <c r="Q56" s="34"/>
      <c r="R56" s="18"/>
      <c r="S56" s="18"/>
      <c r="T56" s="34"/>
      <c r="U56" s="18"/>
      <c r="V56" s="18"/>
      <c r="W56" s="34"/>
      <c r="X56" s="18"/>
      <c r="Y56" s="18"/>
      <c r="Z56" s="34"/>
    </row>
    <row r="57" spans="2:26" x14ac:dyDescent="0.2">
      <c r="O57" s="18"/>
      <c r="P57" s="18"/>
      <c r="Q57" s="34"/>
      <c r="R57" s="18"/>
      <c r="S57" s="18"/>
      <c r="T57" s="34"/>
      <c r="U57" s="18"/>
      <c r="V57" s="18"/>
      <c r="W57" s="34"/>
      <c r="X57" s="18"/>
      <c r="Y57" s="18"/>
      <c r="Z57" s="34"/>
    </row>
    <row r="58" spans="2:26" x14ac:dyDescent="0.2">
      <c r="D58" s="2" t="s">
        <v>92</v>
      </c>
      <c r="O58" s="18"/>
      <c r="P58" s="18"/>
      <c r="Q58" s="34"/>
      <c r="R58" s="18"/>
      <c r="S58" s="18"/>
      <c r="T58" s="34"/>
      <c r="U58" s="18"/>
      <c r="V58" s="18"/>
      <c r="W58" s="34"/>
      <c r="X58" s="18"/>
      <c r="Y58" s="18"/>
      <c r="Z58" s="34"/>
    </row>
    <row r="59" spans="2:26" x14ac:dyDescent="0.2">
      <c r="F59" s="172" t="s">
        <v>44</v>
      </c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4"/>
    </row>
    <row r="60" spans="2:26" x14ac:dyDescent="0.2">
      <c r="B60" s="61" t="s">
        <v>44</v>
      </c>
      <c r="C60" s="62"/>
      <c r="D60" s="62"/>
      <c r="E60" s="62"/>
      <c r="F60" s="184"/>
      <c r="G60" s="162" t="s">
        <v>96</v>
      </c>
      <c r="H60" s="163"/>
      <c r="I60" s="163"/>
      <c r="J60" s="163"/>
      <c r="K60" s="186" t="s">
        <v>95</v>
      </c>
      <c r="L60" s="187"/>
      <c r="M60" s="187"/>
      <c r="N60" s="188"/>
      <c r="O60" s="189" t="s">
        <v>99</v>
      </c>
      <c r="P60" s="190"/>
      <c r="Q60" s="191"/>
      <c r="R60" s="192" t="s">
        <v>97</v>
      </c>
      <c r="S60" s="192"/>
      <c r="T60" s="193"/>
      <c r="U60" s="190" t="s">
        <v>100</v>
      </c>
      <c r="V60" s="190"/>
      <c r="W60" s="191"/>
      <c r="X60" s="192" t="s">
        <v>98</v>
      </c>
      <c r="Y60" s="192"/>
      <c r="Z60" s="193"/>
    </row>
    <row r="61" spans="2:26" ht="34" customHeight="1" x14ac:dyDescent="0.2">
      <c r="B61" s="28"/>
      <c r="C61" s="29"/>
      <c r="D61" s="29"/>
      <c r="E61" s="29"/>
      <c r="F61" s="185"/>
      <c r="G61" s="15" t="s">
        <v>94</v>
      </c>
      <c r="H61" s="16" t="s">
        <v>88</v>
      </c>
      <c r="I61" s="107" t="s">
        <v>85</v>
      </c>
      <c r="J61" s="16" t="s">
        <v>84</v>
      </c>
      <c r="K61" s="15" t="s">
        <v>94</v>
      </c>
      <c r="L61" s="16" t="s">
        <v>88</v>
      </c>
      <c r="M61" s="107" t="s">
        <v>85</v>
      </c>
      <c r="N61" s="16" t="s">
        <v>84</v>
      </c>
      <c r="O61" s="142" t="s">
        <v>126</v>
      </c>
      <c r="P61" s="143"/>
      <c r="Q61" s="145"/>
      <c r="R61" s="144" t="s">
        <v>126</v>
      </c>
      <c r="S61" s="144"/>
      <c r="T61" s="145"/>
      <c r="U61" s="144" t="s">
        <v>126</v>
      </c>
      <c r="V61" s="143"/>
      <c r="W61" s="145"/>
      <c r="X61" s="144" t="s">
        <v>126</v>
      </c>
      <c r="Y61" s="144"/>
      <c r="Z61" s="145"/>
    </row>
    <row r="62" spans="2:26" x14ac:dyDescent="0.2">
      <c r="B62" s="13">
        <v>50</v>
      </c>
      <c r="C62" s="33">
        <f>'3º Alta Frec'!H58</f>
        <v>24.680896633178467</v>
      </c>
      <c r="D62" s="33">
        <f>'3º Alta Frec'!R58</f>
        <v>20.723412121435519</v>
      </c>
      <c r="E62" s="34">
        <f t="shared" ref="E62:E82" si="39">COUNT(C62:D62)</f>
        <v>2</v>
      </c>
      <c r="F62" s="111">
        <v>17.572224999205542</v>
      </c>
      <c r="G62" s="13"/>
      <c r="H62" s="18"/>
      <c r="I62" s="18"/>
      <c r="J62" s="18"/>
      <c r="K62" s="13"/>
      <c r="L62" s="18"/>
      <c r="M62" s="95"/>
      <c r="N62" s="96"/>
      <c r="O62" s="13"/>
      <c r="P62" s="18"/>
      <c r="Q62" s="97"/>
      <c r="R62" s="34">
        <v>-41</v>
      </c>
      <c r="S62" s="33">
        <f>R62-F62</f>
        <v>-58.572224999205545</v>
      </c>
      <c r="T62" s="97">
        <f>10^(S62/10)</f>
        <v>1.3892407061152872E-6</v>
      </c>
      <c r="U62" s="18"/>
      <c r="V62" s="18"/>
      <c r="W62" s="97"/>
      <c r="X62" s="34">
        <v>-25</v>
      </c>
      <c r="Y62" s="33">
        <f t="shared" ref="Y62" si="40">X62-F62</f>
        <v>-42.572224999205545</v>
      </c>
      <c r="Z62" s="97">
        <f t="shared" ref="Z62:Z82" si="41">10^(Y62/10)</f>
        <v>5.530666867292999E-5</v>
      </c>
    </row>
    <row r="63" spans="2:26" x14ac:dyDescent="0.2">
      <c r="B63" s="13">
        <v>63</v>
      </c>
      <c r="C63" s="33">
        <f>'3º Alta Frec'!H59</f>
        <v>24.391811100247381</v>
      </c>
      <c r="D63" s="33">
        <f>'3º Alta Frec'!R59</f>
        <v>34.038384578755561</v>
      </c>
      <c r="E63" s="34">
        <f t="shared" si="39"/>
        <v>2</v>
      </c>
      <c r="F63" s="112">
        <v>20.959990592987193</v>
      </c>
      <c r="G63" s="13"/>
      <c r="H63" s="18"/>
      <c r="I63" s="18"/>
      <c r="J63" s="18"/>
      <c r="K63" s="13"/>
      <c r="L63" s="18"/>
      <c r="M63" s="95"/>
      <c r="N63" s="96"/>
      <c r="O63" s="13"/>
      <c r="P63" s="18"/>
      <c r="Q63" s="97"/>
      <c r="R63" s="34">
        <v>-37</v>
      </c>
      <c r="S63" s="33">
        <f t="shared" ref="S63:S64" si="42">R63-F63</f>
        <v>-57.959990592987197</v>
      </c>
      <c r="T63" s="97">
        <f t="shared" ref="T63:T82" si="43">10^(S63/10)</f>
        <v>1.5995614933326818E-6</v>
      </c>
      <c r="U63" s="18"/>
      <c r="V63" s="18"/>
      <c r="W63" s="97"/>
      <c r="X63" s="34">
        <v>-23</v>
      </c>
      <c r="Y63" s="33">
        <f>X63-F63</f>
        <v>-43.959990592987197</v>
      </c>
      <c r="Z63" s="97">
        <f t="shared" si="41"/>
        <v>4.0179168114675687E-5</v>
      </c>
    </row>
    <row r="64" spans="2:26" x14ac:dyDescent="0.2">
      <c r="B64" s="13">
        <v>80</v>
      </c>
      <c r="C64" s="33">
        <f>'3º Alta Frec'!H60</f>
        <v>23.873186117445787</v>
      </c>
      <c r="D64" s="33">
        <f>'3º Alta Frec'!R60</f>
        <v>32.524936447747741</v>
      </c>
      <c r="E64" s="34">
        <f t="shared" si="39"/>
        <v>2</v>
      </c>
      <c r="F64" s="112">
        <v>23.72486418674487</v>
      </c>
      <c r="G64" s="13"/>
      <c r="H64" s="18"/>
      <c r="I64" s="18"/>
      <c r="J64" s="18"/>
      <c r="K64" s="13"/>
      <c r="L64" s="18"/>
      <c r="M64" s="95"/>
      <c r="N64" s="96"/>
      <c r="O64" s="13"/>
      <c r="P64" s="18"/>
      <c r="Q64" s="97"/>
      <c r="R64" s="34">
        <v>-34</v>
      </c>
      <c r="S64" s="33">
        <f t="shared" si="42"/>
        <v>-57.724864186744867</v>
      </c>
      <c r="T64" s="97">
        <f t="shared" si="43"/>
        <v>1.6885486632211332E-6</v>
      </c>
      <c r="U64" s="18"/>
      <c r="V64" s="18"/>
      <c r="W64" s="97"/>
      <c r="X64" s="34">
        <v>-21</v>
      </c>
      <c r="Y64" s="33">
        <f t="shared" ref="Y64" si="44">X64-F64</f>
        <v>-44.724864186744867</v>
      </c>
      <c r="Z64" s="97">
        <f t="shared" si="41"/>
        <v>3.3690975147162052E-5</v>
      </c>
    </row>
    <row r="65" spans="2:26" x14ac:dyDescent="0.2">
      <c r="B65" s="13">
        <v>100</v>
      </c>
      <c r="C65" s="33">
        <f>'3º Alta Frec'!H61</f>
        <v>24.46580034920515</v>
      </c>
      <c r="D65" s="33">
        <f>'3º Alta Frec'!R61</f>
        <v>34.06295428423644</v>
      </c>
      <c r="E65" s="34">
        <f t="shared" si="39"/>
        <v>2</v>
      </c>
      <c r="F65" s="112">
        <f t="shared" ref="F65:F82" si="45">-10*LOG10((10^(-C65/10)+10^(-D65/10))/E65)</f>
        <v>27.023967352767983</v>
      </c>
      <c r="G65" s="13">
        <v>33</v>
      </c>
      <c r="H65" s="18">
        <f>G65-16</f>
        <v>17</v>
      </c>
      <c r="I65" s="18">
        <f>G65-17</f>
        <v>16</v>
      </c>
      <c r="J65" s="18">
        <f>G65-18</f>
        <v>15</v>
      </c>
      <c r="K65" s="79">
        <f t="shared" ref="K65:K80" si="46">IF((F65-G65)&gt;0,F65-G65,0)</f>
        <v>0</v>
      </c>
      <c r="L65" s="33">
        <f t="shared" ref="L65:L80" si="47">IF((F65-H65)&gt;0,F65-H65,0)</f>
        <v>10.023967352767983</v>
      </c>
      <c r="M65" s="98">
        <f t="shared" ref="M65:M80" si="48">IF((F65-I65)&gt;0,F65-I65,0)</f>
        <v>11.023967352767983</v>
      </c>
      <c r="N65" s="66">
        <f t="shared" ref="N65:N80" si="49">IF((F65-J65)&gt;0,F65-J65,0)</f>
        <v>12.023967352767983</v>
      </c>
      <c r="O65" s="99">
        <v>-29</v>
      </c>
      <c r="P65" s="33">
        <f>O65-F65</f>
        <v>-56.023967352767983</v>
      </c>
      <c r="Q65" s="97">
        <f>10^(P65/10)</f>
        <v>2.4980622973347087E-6</v>
      </c>
      <c r="R65" s="34">
        <v>-30</v>
      </c>
      <c r="S65" s="33">
        <f>R65-F65</f>
        <v>-57.023967352767983</v>
      </c>
      <c r="T65" s="97">
        <f>10^(S65/10)</f>
        <v>1.9842814148731643E-6</v>
      </c>
      <c r="U65" s="34">
        <v>-20</v>
      </c>
      <c r="V65" s="33">
        <f>U65-F65</f>
        <v>-47.023967352767983</v>
      </c>
      <c r="W65" s="97">
        <f>10^(V65/10)</f>
        <v>1.9842814148731627E-5</v>
      </c>
      <c r="X65" s="34">
        <v>-20</v>
      </c>
      <c r="Y65" s="33">
        <f>X65-F65</f>
        <v>-47.023967352767983</v>
      </c>
      <c r="Z65" s="97">
        <f>10^(Y65/10)</f>
        <v>1.9842814148731627E-5</v>
      </c>
    </row>
    <row r="66" spans="2:26" x14ac:dyDescent="0.2">
      <c r="B66" s="13">
        <v>125</v>
      </c>
      <c r="C66" s="33">
        <f>'3º Alta Frec'!H62</f>
        <v>20.99191847061287</v>
      </c>
      <c r="D66" s="33">
        <f>'3º Alta Frec'!R62</f>
        <v>35.129119501337527</v>
      </c>
      <c r="E66" s="34">
        <f t="shared" si="39"/>
        <v>2</v>
      </c>
      <c r="F66" s="112">
        <f t="shared" si="45"/>
        <v>23.837849455102706</v>
      </c>
      <c r="G66" s="13">
        <v>36</v>
      </c>
      <c r="H66" s="18">
        <f t="shared" ref="H66:H80" si="50">G66-16</f>
        <v>20</v>
      </c>
      <c r="I66" s="18">
        <f t="shared" ref="I66:I80" si="51">G66-17</f>
        <v>19</v>
      </c>
      <c r="J66" s="18">
        <f t="shared" ref="J66:J80" si="52">G66-18</f>
        <v>18</v>
      </c>
      <c r="K66" s="79">
        <f t="shared" si="46"/>
        <v>0</v>
      </c>
      <c r="L66" s="33">
        <f t="shared" si="47"/>
        <v>3.837849455102706</v>
      </c>
      <c r="M66" s="98">
        <f t="shared" si="48"/>
        <v>4.837849455102706</v>
      </c>
      <c r="N66" s="66">
        <f t="shared" si="49"/>
        <v>5.837849455102706</v>
      </c>
      <c r="O66" s="99">
        <v>-26</v>
      </c>
      <c r="P66" s="33">
        <f t="shared" ref="P66:P80" si="53">O66-F66</f>
        <v>-49.837849455102706</v>
      </c>
      <c r="Q66" s="97">
        <f>10^(P66/10)</f>
        <v>1.0380423076728662E-5</v>
      </c>
      <c r="R66" s="34">
        <v>-27</v>
      </c>
      <c r="S66" s="33">
        <f t="shared" ref="S66:S82" si="54">R66-F66</f>
        <v>-50.837849455102706</v>
      </c>
      <c r="T66" s="97">
        <f t="shared" si="43"/>
        <v>8.2454631382290648E-6</v>
      </c>
      <c r="U66" s="34">
        <v>-20</v>
      </c>
      <c r="V66" s="33">
        <f>U66-F66</f>
        <v>-43.837849455102706</v>
      </c>
      <c r="W66" s="97">
        <f t="shared" ref="W66:W80" si="55">10^(V66/10)</f>
        <v>4.1325208602246813E-5</v>
      </c>
      <c r="X66" s="34">
        <v>-20</v>
      </c>
      <c r="Y66" s="33">
        <f t="shared" ref="Y66:Y82" si="56">X66-F66</f>
        <v>-43.837849455102706</v>
      </c>
      <c r="Z66" s="97">
        <f t="shared" si="41"/>
        <v>4.1325208602246813E-5</v>
      </c>
    </row>
    <row r="67" spans="2:26" x14ac:dyDescent="0.2">
      <c r="B67" s="13">
        <v>160</v>
      </c>
      <c r="C67" s="33">
        <f>'3º Alta Frec'!H63</f>
        <v>23.06966510619166</v>
      </c>
      <c r="D67" s="33">
        <f>'3º Alta Frec'!R63</f>
        <v>29.219998934133098</v>
      </c>
      <c r="E67" s="34">
        <f t="shared" si="39"/>
        <v>2</v>
      </c>
      <c r="F67" s="112">
        <f t="shared" si="45"/>
        <v>25.136503530562312</v>
      </c>
      <c r="G67" s="13">
        <v>39</v>
      </c>
      <c r="H67" s="18">
        <f t="shared" si="50"/>
        <v>23</v>
      </c>
      <c r="I67" s="18">
        <f t="shared" si="51"/>
        <v>22</v>
      </c>
      <c r="J67" s="18">
        <f t="shared" si="52"/>
        <v>21</v>
      </c>
      <c r="K67" s="79">
        <f t="shared" si="46"/>
        <v>0</v>
      </c>
      <c r="L67" s="33">
        <f t="shared" si="47"/>
        <v>2.1365035305623117</v>
      </c>
      <c r="M67" s="98">
        <f t="shared" si="48"/>
        <v>3.1365035305623117</v>
      </c>
      <c r="N67" s="66">
        <f t="shared" si="49"/>
        <v>4.1365035305623117</v>
      </c>
      <c r="O67" s="99">
        <v>-23</v>
      </c>
      <c r="P67" s="33">
        <f t="shared" si="53"/>
        <v>-48.136503530562308</v>
      </c>
      <c r="Q67" s="97">
        <f t="shared" ref="Q67:Q80" si="57">10^(P67/10)</f>
        <v>1.5358529878925359E-5</v>
      </c>
      <c r="R67" s="34">
        <v>-24</v>
      </c>
      <c r="S67" s="33">
        <f t="shared" si="54"/>
        <v>-49.136503530562308</v>
      </c>
      <c r="T67" s="97">
        <f t="shared" si="43"/>
        <v>1.2199713926686902E-5</v>
      </c>
      <c r="U67" s="34">
        <v>-18</v>
      </c>
      <c r="V67" s="33">
        <f t="shared" ref="V67:V80" si="58">U67-F67</f>
        <v>-43.136503530562308</v>
      </c>
      <c r="W67" s="97">
        <f t="shared" si="55"/>
        <v>4.8567935929154257E-5</v>
      </c>
      <c r="X67" s="34">
        <v>-18</v>
      </c>
      <c r="Y67" s="33">
        <f t="shared" si="56"/>
        <v>-43.136503530562308</v>
      </c>
      <c r="Z67" s="97">
        <f t="shared" si="41"/>
        <v>4.8567935929154257E-5</v>
      </c>
    </row>
    <row r="68" spans="2:26" x14ac:dyDescent="0.2">
      <c r="B68" s="13">
        <v>200</v>
      </c>
      <c r="C68" s="33">
        <f>'3º Alta Frec'!H64</f>
        <v>27.930295513250602</v>
      </c>
      <c r="D68" s="33">
        <f>'3º Alta Frec'!R64</f>
        <v>38.903759267218732</v>
      </c>
      <c r="E68" s="34">
        <f t="shared" si="39"/>
        <v>2</v>
      </c>
      <c r="F68" s="112">
        <f t="shared" si="45"/>
        <v>30.606680996106185</v>
      </c>
      <c r="G68" s="13">
        <v>42</v>
      </c>
      <c r="H68" s="18">
        <f t="shared" si="50"/>
        <v>26</v>
      </c>
      <c r="I68" s="18">
        <f t="shared" si="51"/>
        <v>25</v>
      </c>
      <c r="J68" s="18">
        <f t="shared" si="52"/>
        <v>24</v>
      </c>
      <c r="K68" s="79">
        <f t="shared" si="46"/>
        <v>0</v>
      </c>
      <c r="L68" s="33">
        <f t="shared" si="47"/>
        <v>4.606680996106185</v>
      </c>
      <c r="M68" s="98">
        <f t="shared" si="48"/>
        <v>5.606680996106185</v>
      </c>
      <c r="N68" s="66">
        <f t="shared" si="49"/>
        <v>6.606680996106185</v>
      </c>
      <c r="O68" s="99">
        <v>-21</v>
      </c>
      <c r="P68" s="33">
        <f t="shared" si="53"/>
        <v>-51.606680996106185</v>
      </c>
      <c r="Q68" s="97">
        <f t="shared" si="57"/>
        <v>6.9076750665582302E-6</v>
      </c>
      <c r="R68" s="34">
        <v>-22</v>
      </c>
      <c r="S68" s="33">
        <f t="shared" si="54"/>
        <v>-52.606680996106185</v>
      </c>
      <c r="T68" s="97">
        <f t="shared" si="43"/>
        <v>5.4869613416681383E-6</v>
      </c>
      <c r="U68" s="34">
        <v>-16</v>
      </c>
      <c r="V68" s="33">
        <f t="shared" si="58"/>
        <v>-46.606680996106185</v>
      </c>
      <c r="W68" s="97">
        <f t="shared" si="55"/>
        <v>2.1843986546679185E-5</v>
      </c>
      <c r="X68" s="34">
        <v>-16</v>
      </c>
      <c r="Y68" s="33">
        <f t="shared" si="56"/>
        <v>-46.606680996106185</v>
      </c>
      <c r="Z68" s="97">
        <f t="shared" si="41"/>
        <v>2.1843986546679185E-5</v>
      </c>
    </row>
    <row r="69" spans="2:26" x14ac:dyDescent="0.2">
      <c r="B69" s="13">
        <v>250</v>
      </c>
      <c r="C69" s="33">
        <f>'3º Alta Frec'!H65</f>
        <v>29.354130617478123</v>
      </c>
      <c r="D69" s="33">
        <f>'3º Alta Frec'!R65</f>
        <v>37.455042344770625</v>
      </c>
      <c r="E69" s="34">
        <f t="shared" si="39"/>
        <v>2</v>
      </c>
      <c r="F69" s="112">
        <f t="shared" si="45"/>
        <v>31.739177981774741</v>
      </c>
      <c r="G69" s="100">
        <v>45</v>
      </c>
      <c r="H69" s="18">
        <f t="shared" si="50"/>
        <v>29</v>
      </c>
      <c r="I69" s="18">
        <f t="shared" si="51"/>
        <v>28</v>
      </c>
      <c r="J69" s="18">
        <f t="shared" si="52"/>
        <v>27</v>
      </c>
      <c r="K69" s="79">
        <f t="shared" si="46"/>
        <v>0</v>
      </c>
      <c r="L69" s="33">
        <f t="shared" si="47"/>
        <v>2.7391779817747413</v>
      </c>
      <c r="M69" s="98">
        <f t="shared" si="48"/>
        <v>3.7391779817747413</v>
      </c>
      <c r="N69" s="66">
        <f t="shared" si="49"/>
        <v>4.7391779817747413</v>
      </c>
      <c r="O69" s="99">
        <v>-19</v>
      </c>
      <c r="P69" s="33">
        <f t="shared" si="53"/>
        <v>-50.739177981774745</v>
      </c>
      <c r="Q69" s="97">
        <f t="shared" si="57"/>
        <v>8.4349439648423659E-6</v>
      </c>
      <c r="R69" s="34">
        <v>-20</v>
      </c>
      <c r="S69" s="33">
        <f t="shared" si="54"/>
        <v>-51.739177981774745</v>
      </c>
      <c r="T69" s="97">
        <f t="shared" si="43"/>
        <v>6.7001141495914628E-6</v>
      </c>
      <c r="U69" s="34">
        <v>-15</v>
      </c>
      <c r="V69" s="33">
        <f t="shared" si="58"/>
        <v>-46.739177981774745</v>
      </c>
      <c r="W69" s="97">
        <f t="shared" si="55"/>
        <v>2.1187621295831116E-5</v>
      </c>
      <c r="X69" s="34">
        <v>-15</v>
      </c>
      <c r="Y69" s="33">
        <f t="shared" si="56"/>
        <v>-46.739177981774745</v>
      </c>
      <c r="Z69" s="97">
        <f t="shared" si="41"/>
        <v>2.1187621295831116E-5</v>
      </c>
    </row>
    <row r="70" spans="2:26" x14ac:dyDescent="0.2">
      <c r="B70" s="13">
        <v>315</v>
      </c>
      <c r="C70" s="33">
        <f>'3º Alta Frec'!H66</f>
        <v>28.162019957312854</v>
      </c>
      <c r="D70" s="33">
        <f>'3º Alta Frec'!R66</f>
        <v>32.102100415782466</v>
      </c>
      <c r="E70" s="34">
        <f t="shared" si="39"/>
        <v>2</v>
      </c>
      <c r="F70" s="112">
        <f t="shared" si="45"/>
        <v>29.699769005509737</v>
      </c>
      <c r="G70" s="100">
        <v>48</v>
      </c>
      <c r="H70" s="18">
        <f t="shared" si="50"/>
        <v>32</v>
      </c>
      <c r="I70" s="18">
        <f t="shared" si="51"/>
        <v>31</v>
      </c>
      <c r="J70" s="18">
        <f t="shared" si="52"/>
        <v>30</v>
      </c>
      <c r="K70" s="79">
        <f t="shared" si="46"/>
        <v>0</v>
      </c>
      <c r="L70" s="33">
        <f t="shared" si="47"/>
        <v>0</v>
      </c>
      <c r="M70" s="98">
        <f t="shared" si="48"/>
        <v>0</v>
      </c>
      <c r="N70" s="66">
        <f t="shared" si="49"/>
        <v>0</v>
      </c>
      <c r="O70" s="99">
        <v>-17</v>
      </c>
      <c r="P70" s="33">
        <f t="shared" si="53"/>
        <v>-46.699769005509737</v>
      </c>
      <c r="Q70" s="97">
        <f t="shared" si="57"/>
        <v>2.1380758074096957E-5</v>
      </c>
      <c r="R70" s="34">
        <v>-18</v>
      </c>
      <c r="S70" s="33">
        <f t="shared" si="54"/>
        <v>-47.699769005509737</v>
      </c>
      <c r="T70" s="97">
        <f t="shared" si="43"/>
        <v>1.698333981806435E-5</v>
      </c>
      <c r="U70" s="34">
        <v>-14</v>
      </c>
      <c r="V70" s="33">
        <f t="shared" si="58"/>
        <v>-43.699769005509737</v>
      </c>
      <c r="W70" s="97">
        <f t="shared" si="55"/>
        <v>4.2660220850712211E-5</v>
      </c>
      <c r="X70" s="34">
        <v>-14</v>
      </c>
      <c r="Y70" s="33">
        <f t="shared" si="56"/>
        <v>-43.699769005509737</v>
      </c>
      <c r="Z70" s="97">
        <f t="shared" si="41"/>
        <v>4.2660220850712211E-5</v>
      </c>
    </row>
    <row r="71" spans="2:26" x14ac:dyDescent="0.2">
      <c r="B71" s="13">
        <v>400</v>
      </c>
      <c r="C71" s="33">
        <f>'3º Alta Frec'!H67</f>
        <v>27.694660816078528</v>
      </c>
      <c r="D71" s="33">
        <f>'3º Alta Frec'!R67</f>
        <v>35.484267926223474</v>
      </c>
      <c r="E71" s="34">
        <f t="shared" si="39"/>
        <v>2</v>
      </c>
      <c r="F71" s="112">
        <f t="shared" si="45"/>
        <v>30.036648325448901</v>
      </c>
      <c r="G71" s="100">
        <v>51</v>
      </c>
      <c r="H71" s="18">
        <f t="shared" si="50"/>
        <v>35</v>
      </c>
      <c r="I71" s="18">
        <f t="shared" si="51"/>
        <v>34</v>
      </c>
      <c r="J71" s="18">
        <f t="shared" si="52"/>
        <v>33</v>
      </c>
      <c r="K71" s="79">
        <f t="shared" si="46"/>
        <v>0</v>
      </c>
      <c r="L71" s="33">
        <f t="shared" si="47"/>
        <v>0</v>
      </c>
      <c r="M71" s="98">
        <f t="shared" si="48"/>
        <v>0</v>
      </c>
      <c r="N71" s="66">
        <f t="shared" si="49"/>
        <v>0</v>
      </c>
      <c r="O71" s="99">
        <v>-15</v>
      </c>
      <c r="P71" s="33">
        <f t="shared" si="53"/>
        <v>-45.036648325448901</v>
      </c>
      <c r="Q71" s="97">
        <f t="shared" si="57"/>
        <v>3.135704775875434E-5</v>
      </c>
      <c r="R71" s="34">
        <v>-16</v>
      </c>
      <c r="S71" s="33">
        <f t="shared" si="54"/>
        <v>-46.036648325448901</v>
      </c>
      <c r="T71" s="97">
        <f t="shared" si="43"/>
        <v>2.4907788392376347E-5</v>
      </c>
      <c r="U71" s="34">
        <v>-13</v>
      </c>
      <c r="V71" s="33">
        <f t="shared" si="58"/>
        <v>-43.036648325448901</v>
      </c>
      <c r="W71" s="97">
        <f t="shared" si="55"/>
        <v>4.9697571528527855E-5</v>
      </c>
      <c r="X71" s="34">
        <v>-13</v>
      </c>
      <c r="Y71" s="33">
        <f t="shared" si="56"/>
        <v>-43.036648325448901</v>
      </c>
      <c r="Z71" s="97">
        <f t="shared" si="41"/>
        <v>4.9697571528527855E-5</v>
      </c>
    </row>
    <row r="72" spans="2:26" x14ac:dyDescent="0.2">
      <c r="B72" s="13">
        <v>500</v>
      </c>
      <c r="C72" s="33">
        <f>'3º Alta Frec'!H68</f>
        <v>30.821427773054062</v>
      </c>
      <c r="D72" s="33">
        <f>'3º Alta Frec'!R68</f>
        <v>35.33558385277221</v>
      </c>
      <c r="E72" s="34">
        <f t="shared" si="39"/>
        <v>2</v>
      </c>
      <c r="F72" s="112">
        <f t="shared" si="45"/>
        <v>32.516635821621506</v>
      </c>
      <c r="G72" s="101">
        <v>52</v>
      </c>
      <c r="H72" s="18">
        <f t="shared" si="50"/>
        <v>36</v>
      </c>
      <c r="I72" s="95">
        <f t="shared" si="51"/>
        <v>35</v>
      </c>
      <c r="J72" s="18">
        <f t="shared" si="52"/>
        <v>34</v>
      </c>
      <c r="K72" s="79">
        <f t="shared" si="46"/>
        <v>0</v>
      </c>
      <c r="L72" s="33">
        <f t="shared" si="47"/>
        <v>0</v>
      </c>
      <c r="M72" s="98">
        <f t="shared" si="48"/>
        <v>0</v>
      </c>
      <c r="N72" s="66">
        <f t="shared" si="49"/>
        <v>0</v>
      </c>
      <c r="O72" s="99">
        <v>-13</v>
      </c>
      <c r="P72" s="33">
        <f t="shared" si="53"/>
        <v>-45.516635821621506</v>
      </c>
      <c r="Q72" s="97">
        <f t="shared" si="57"/>
        <v>2.8076076548915478E-5</v>
      </c>
      <c r="R72" s="34">
        <v>-14</v>
      </c>
      <c r="S72" s="33">
        <f t="shared" si="54"/>
        <v>-46.516635821621506</v>
      </c>
      <c r="T72" s="97">
        <f t="shared" si="43"/>
        <v>2.230162032308385E-5</v>
      </c>
      <c r="U72" s="34">
        <v>-12</v>
      </c>
      <c r="V72" s="33">
        <f t="shared" si="58"/>
        <v>-44.516635821621506</v>
      </c>
      <c r="W72" s="97">
        <f t="shared" si="55"/>
        <v>3.534568623090801E-5</v>
      </c>
      <c r="X72" s="34">
        <v>-12</v>
      </c>
      <c r="Y72" s="33">
        <f t="shared" si="56"/>
        <v>-44.516635821621506</v>
      </c>
      <c r="Z72" s="97">
        <f t="shared" si="41"/>
        <v>3.534568623090801E-5</v>
      </c>
    </row>
    <row r="73" spans="2:26" x14ac:dyDescent="0.2">
      <c r="B73" s="13">
        <v>630</v>
      </c>
      <c r="C73" s="33">
        <f>'3º Alta Frec'!H69</f>
        <v>28.677666386807299</v>
      </c>
      <c r="D73" s="33">
        <f>'3º Alta Frec'!R69</f>
        <v>38.802974936746089</v>
      </c>
      <c r="E73" s="34">
        <f t="shared" si="39"/>
        <v>2</v>
      </c>
      <c r="F73" s="112">
        <f t="shared" si="45"/>
        <v>31.285282944841338</v>
      </c>
      <c r="G73" s="13">
        <v>53</v>
      </c>
      <c r="H73" s="18">
        <f t="shared" si="50"/>
        <v>37</v>
      </c>
      <c r="I73" s="18">
        <f t="shared" si="51"/>
        <v>36</v>
      </c>
      <c r="J73" s="18">
        <f t="shared" si="52"/>
        <v>35</v>
      </c>
      <c r="K73" s="79">
        <f t="shared" si="46"/>
        <v>0</v>
      </c>
      <c r="L73" s="33">
        <f t="shared" si="47"/>
        <v>0</v>
      </c>
      <c r="M73" s="98">
        <f t="shared" si="48"/>
        <v>0</v>
      </c>
      <c r="N73" s="66">
        <f t="shared" si="49"/>
        <v>0</v>
      </c>
      <c r="O73" s="99">
        <v>-12</v>
      </c>
      <c r="P73" s="33">
        <f t="shared" si="53"/>
        <v>-43.285282944841342</v>
      </c>
      <c r="Q73" s="97">
        <f t="shared" si="57"/>
        <v>4.693228567223581E-5</v>
      </c>
      <c r="R73" s="34">
        <v>-13</v>
      </c>
      <c r="S73" s="33">
        <f t="shared" si="54"/>
        <v>-44.285282944841342</v>
      </c>
      <c r="T73" s="97">
        <f t="shared" si="43"/>
        <v>3.7279639629602789E-5</v>
      </c>
      <c r="U73" s="34">
        <v>-11</v>
      </c>
      <c r="V73" s="33">
        <f t="shared" si="58"/>
        <v>-42.285282944841342</v>
      </c>
      <c r="W73" s="97">
        <f t="shared" si="55"/>
        <v>5.9084247066361007E-5</v>
      </c>
      <c r="X73" s="34">
        <v>-11</v>
      </c>
      <c r="Y73" s="33">
        <f t="shared" si="56"/>
        <v>-42.285282944841342</v>
      </c>
      <c r="Z73" s="97">
        <f t="shared" si="41"/>
        <v>5.9084247066361007E-5</v>
      </c>
    </row>
    <row r="74" spans="2:26" x14ac:dyDescent="0.2">
      <c r="B74" s="13">
        <v>800</v>
      </c>
      <c r="C74" s="33">
        <f>'3º Alta Frec'!H70</f>
        <v>31.944725903478247</v>
      </c>
      <c r="D74" s="33">
        <f>'3º Alta Frec'!R70</f>
        <v>41.284483315165659</v>
      </c>
      <c r="E74" s="34">
        <f t="shared" si="39"/>
        <v>2</v>
      </c>
      <c r="F74" s="112">
        <f t="shared" si="45"/>
        <v>34.476753258866147</v>
      </c>
      <c r="G74" s="13">
        <v>54</v>
      </c>
      <c r="H74" s="18">
        <f t="shared" si="50"/>
        <v>38</v>
      </c>
      <c r="I74" s="18">
        <f t="shared" si="51"/>
        <v>37</v>
      </c>
      <c r="J74" s="18">
        <f t="shared" si="52"/>
        <v>36</v>
      </c>
      <c r="K74" s="79">
        <f t="shared" si="46"/>
        <v>0</v>
      </c>
      <c r="L74" s="33">
        <f t="shared" si="47"/>
        <v>0</v>
      </c>
      <c r="M74" s="98">
        <f t="shared" si="48"/>
        <v>0</v>
      </c>
      <c r="N74" s="66">
        <f t="shared" si="49"/>
        <v>0</v>
      </c>
      <c r="O74" s="99">
        <v>-11</v>
      </c>
      <c r="P74" s="33">
        <f t="shared" si="53"/>
        <v>-45.476753258866147</v>
      </c>
      <c r="Q74" s="97">
        <f t="shared" si="57"/>
        <v>2.8335095069165873E-5</v>
      </c>
      <c r="R74" s="34">
        <v>-12</v>
      </c>
      <c r="S74" s="33">
        <f t="shared" si="54"/>
        <v>-46.476753258866147</v>
      </c>
      <c r="T74" s="97">
        <f t="shared" si="43"/>
        <v>2.2507366047035205E-5</v>
      </c>
      <c r="U74" s="34">
        <v>-9</v>
      </c>
      <c r="V74" s="33">
        <f t="shared" si="58"/>
        <v>-43.476753258866147</v>
      </c>
      <c r="W74" s="97">
        <f t="shared" si="55"/>
        <v>4.4908099282859533E-5</v>
      </c>
      <c r="X74" s="34">
        <v>-9</v>
      </c>
      <c r="Y74" s="33">
        <f t="shared" si="56"/>
        <v>-43.476753258866147</v>
      </c>
      <c r="Z74" s="97">
        <f t="shared" si="41"/>
        <v>4.4908099282859533E-5</v>
      </c>
    </row>
    <row r="75" spans="2:26" x14ac:dyDescent="0.2">
      <c r="B75" s="13">
        <v>1000</v>
      </c>
      <c r="C75" s="33">
        <f>'3º Alta Frec'!H71</f>
        <v>33.966279938143558</v>
      </c>
      <c r="D75" s="33">
        <f>'3º Alta Frec'!R71</f>
        <v>42.274811098248961</v>
      </c>
      <c r="E75" s="34">
        <f t="shared" si="39"/>
        <v>2</v>
      </c>
      <c r="F75" s="112">
        <f t="shared" si="45"/>
        <v>36.378596647403434</v>
      </c>
      <c r="G75" s="13">
        <v>55</v>
      </c>
      <c r="H75" s="18">
        <f t="shared" si="50"/>
        <v>39</v>
      </c>
      <c r="I75" s="18">
        <f t="shared" si="51"/>
        <v>38</v>
      </c>
      <c r="J75" s="18">
        <f t="shared" si="52"/>
        <v>37</v>
      </c>
      <c r="K75" s="79">
        <f t="shared" si="46"/>
        <v>0</v>
      </c>
      <c r="L75" s="33">
        <f t="shared" si="47"/>
        <v>0</v>
      </c>
      <c r="M75" s="98">
        <f t="shared" si="48"/>
        <v>0</v>
      </c>
      <c r="N75" s="66">
        <f t="shared" si="49"/>
        <v>0</v>
      </c>
      <c r="O75" s="99">
        <v>-10</v>
      </c>
      <c r="P75" s="33">
        <f t="shared" si="53"/>
        <v>-46.378596647403434</v>
      </c>
      <c r="Q75" s="97">
        <f t="shared" si="57"/>
        <v>2.3021856113914846E-5</v>
      </c>
      <c r="R75" s="34">
        <v>-11</v>
      </c>
      <c r="S75" s="33">
        <f t="shared" si="54"/>
        <v>-47.378596647403434</v>
      </c>
      <c r="T75" s="97">
        <f t="shared" si="43"/>
        <v>1.8286910327042406E-5</v>
      </c>
      <c r="U75" s="34">
        <v>-8</v>
      </c>
      <c r="V75" s="33">
        <f t="shared" si="58"/>
        <v>-44.378596647403434</v>
      </c>
      <c r="W75" s="97">
        <f t="shared" si="55"/>
        <v>3.6487183032762962E-5</v>
      </c>
      <c r="X75" s="34">
        <v>-8</v>
      </c>
      <c r="Y75" s="33">
        <f t="shared" si="56"/>
        <v>-44.378596647403434</v>
      </c>
      <c r="Z75" s="97">
        <f t="shared" si="41"/>
        <v>3.6487183032762962E-5</v>
      </c>
    </row>
    <row r="76" spans="2:26" x14ac:dyDescent="0.2">
      <c r="B76" s="13">
        <v>1250</v>
      </c>
      <c r="C76" s="33">
        <f>'3º Alta Frec'!H72</f>
        <v>34.538865168202946</v>
      </c>
      <c r="D76" s="33">
        <f>'3º Alta Frec'!R72</f>
        <v>43.625290324608528</v>
      </c>
      <c r="E76" s="34">
        <f t="shared" si="39"/>
        <v>2</v>
      </c>
      <c r="F76" s="112">
        <f t="shared" si="45"/>
        <v>37.043774435851816</v>
      </c>
      <c r="G76" s="13">
        <v>56</v>
      </c>
      <c r="H76" s="18">
        <f t="shared" si="50"/>
        <v>40</v>
      </c>
      <c r="I76" s="18">
        <f t="shared" si="51"/>
        <v>39</v>
      </c>
      <c r="J76" s="18">
        <f t="shared" si="52"/>
        <v>38</v>
      </c>
      <c r="K76" s="79">
        <f t="shared" si="46"/>
        <v>0</v>
      </c>
      <c r="L76" s="33">
        <f t="shared" si="47"/>
        <v>0</v>
      </c>
      <c r="M76" s="98">
        <f t="shared" si="48"/>
        <v>0</v>
      </c>
      <c r="N76" s="66">
        <f t="shared" si="49"/>
        <v>0</v>
      </c>
      <c r="O76" s="99">
        <v>-9</v>
      </c>
      <c r="P76" s="33">
        <f t="shared" si="53"/>
        <v>-46.043774435851816</v>
      </c>
      <c r="Q76" s="97">
        <f t="shared" si="57"/>
        <v>2.4866952020898132E-5</v>
      </c>
      <c r="R76" s="34">
        <v>-10</v>
      </c>
      <c r="S76" s="33">
        <f t="shared" si="54"/>
        <v>-47.043774435851816</v>
      </c>
      <c r="T76" s="97">
        <f t="shared" si="43"/>
        <v>1.9752522101733368E-5</v>
      </c>
      <c r="U76" s="34">
        <v>-9</v>
      </c>
      <c r="V76" s="33">
        <f t="shared" si="58"/>
        <v>-46.043774435851816</v>
      </c>
      <c r="W76" s="97">
        <f t="shared" si="55"/>
        <v>2.4866952020898132E-5</v>
      </c>
      <c r="X76" s="34">
        <v>-9</v>
      </c>
      <c r="Y76" s="33">
        <f t="shared" si="56"/>
        <v>-46.043774435851816</v>
      </c>
      <c r="Z76" s="97">
        <f t="shared" si="41"/>
        <v>2.4866952020898132E-5</v>
      </c>
    </row>
    <row r="77" spans="2:26" x14ac:dyDescent="0.2">
      <c r="B77" s="13">
        <v>1600</v>
      </c>
      <c r="C77" s="33">
        <f>'3º Alta Frec'!H73</f>
        <v>35.490539325101423</v>
      </c>
      <c r="D77" s="33">
        <f>'3º Alta Frec'!R73</f>
        <v>44.037747511986097</v>
      </c>
      <c r="E77" s="34">
        <f t="shared" si="39"/>
        <v>2</v>
      </c>
      <c r="F77" s="112">
        <f t="shared" si="45"/>
        <v>37.93283232789063</v>
      </c>
      <c r="G77" s="13">
        <v>56</v>
      </c>
      <c r="H77" s="18">
        <f t="shared" si="50"/>
        <v>40</v>
      </c>
      <c r="I77" s="18">
        <f t="shared" si="51"/>
        <v>39</v>
      </c>
      <c r="J77" s="18">
        <f t="shared" si="52"/>
        <v>38</v>
      </c>
      <c r="K77" s="79">
        <f t="shared" si="46"/>
        <v>0</v>
      </c>
      <c r="L77" s="33">
        <f t="shared" si="47"/>
        <v>0</v>
      </c>
      <c r="M77" s="98">
        <f t="shared" si="48"/>
        <v>0</v>
      </c>
      <c r="N77" s="66">
        <f t="shared" si="49"/>
        <v>0</v>
      </c>
      <c r="O77" s="99">
        <v>-9</v>
      </c>
      <c r="P77" s="33">
        <f t="shared" si="53"/>
        <v>-46.93283232789063</v>
      </c>
      <c r="Q77" s="97">
        <f t="shared" si="57"/>
        <v>2.0263607616685911E-5</v>
      </c>
      <c r="R77" s="34">
        <v>-10</v>
      </c>
      <c r="S77" s="33">
        <f t="shared" si="54"/>
        <v>-47.93283232789063</v>
      </c>
      <c r="T77" s="97">
        <f t="shared" si="43"/>
        <v>1.6095955667307613E-5</v>
      </c>
      <c r="U77" s="34">
        <v>-10</v>
      </c>
      <c r="V77" s="33">
        <f t="shared" si="58"/>
        <v>-47.93283232789063</v>
      </c>
      <c r="W77" s="97">
        <f t="shared" si="55"/>
        <v>1.6095955667307613E-5</v>
      </c>
      <c r="X77" s="34">
        <v>-10</v>
      </c>
      <c r="Y77" s="33">
        <f t="shared" si="56"/>
        <v>-47.93283232789063</v>
      </c>
      <c r="Z77" s="97">
        <f t="shared" si="41"/>
        <v>1.6095955667307613E-5</v>
      </c>
    </row>
    <row r="78" spans="2:26" x14ac:dyDescent="0.2">
      <c r="B78" s="13">
        <v>2000</v>
      </c>
      <c r="C78" s="33">
        <f>'3º Alta Frec'!H74</f>
        <v>36.981523852113774</v>
      </c>
      <c r="D78" s="33">
        <f>'3º Alta Frec'!R74</f>
        <v>44.753301309217655</v>
      </c>
      <c r="E78" s="34">
        <f t="shared" si="39"/>
        <v>2</v>
      </c>
      <c r="F78" s="112">
        <f t="shared" si="45"/>
        <v>39.320963854740199</v>
      </c>
      <c r="G78" s="13">
        <v>56</v>
      </c>
      <c r="H78" s="18">
        <f t="shared" si="50"/>
        <v>40</v>
      </c>
      <c r="I78" s="18">
        <f t="shared" si="51"/>
        <v>39</v>
      </c>
      <c r="J78" s="18">
        <f t="shared" si="52"/>
        <v>38</v>
      </c>
      <c r="K78" s="79">
        <f t="shared" si="46"/>
        <v>0</v>
      </c>
      <c r="L78" s="33">
        <f t="shared" si="47"/>
        <v>0</v>
      </c>
      <c r="M78" s="98">
        <f t="shared" si="48"/>
        <v>0.32096385474019939</v>
      </c>
      <c r="N78" s="66">
        <f t="shared" si="49"/>
        <v>1.3209638547401994</v>
      </c>
      <c r="O78" s="99">
        <v>-9</v>
      </c>
      <c r="P78" s="33">
        <f t="shared" si="53"/>
        <v>-48.320963854740199</v>
      </c>
      <c r="Q78" s="97">
        <f t="shared" si="57"/>
        <v>1.4719857799019695E-5</v>
      </c>
      <c r="R78" s="34">
        <v>-10</v>
      </c>
      <c r="S78" s="33">
        <f t="shared" si="54"/>
        <v>-49.320963854740199</v>
      </c>
      <c r="T78" s="97">
        <f t="shared" si="43"/>
        <v>1.1692398660887753E-5</v>
      </c>
      <c r="U78" s="34">
        <v>-11</v>
      </c>
      <c r="V78" s="33">
        <f t="shared" si="58"/>
        <v>-50.320963854740199</v>
      </c>
      <c r="W78" s="97">
        <f t="shared" si="55"/>
        <v>9.2876023879955298E-6</v>
      </c>
      <c r="X78" s="34">
        <v>-11</v>
      </c>
      <c r="Y78" s="33">
        <f t="shared" si="56"/>
        <v>-50.320963854740199</v>
      </c>
      <c r="Z78" s="97">
        <f t="shared" si="41"/>
        <v>9.2876023879955298E-6</v>
      </c>
    </row>
    <row r="79" spans="2:26" x14ac:dyDescent="0.2">
      <c r="B79" s="13">
        <v>2500</v>
      </c>
      <c r="C79" s="33">
        <f>'3º Alta Frec'!H75</f>
        <v>36.087260225264458</v>
      </c>
      <c r="D79" s="33">
        <f>'3º Alta Frec'!R75</f>
        <v>44.283893847973609</v>
      </c>
      <c r="E79" s="34">
        <f t="shared" si="39"/>
        <v>2</v>
      </c>
      <c r="F79" s="112">
        <f t="shared" si="45"/>
        <v>38.485020736186129</v>
      </c>
      <c r="G79" s="13">
        <v>56</v>
      </c>
      <c r="H79" s="18">
        <f t="shared" si="50"/>
        <v>40</v>
      </c>
      <c r="I79" s="18">
        <f t="shared" si="51"/>
        <v>39</v>
      </c>
      <c r="J79" s="18">
        <f t="shared" si="52"/>
        <v>38</v>
      </c>
      <c r="K79" s="79">
        <f t="shared" si="46"/>
        <v>0</v>
      </c>
      <c r="L79" s="33">
        <f t="shared" si="47"/>
        <v>0</v>
      </c>
      <c r="M79" s="98">
        <f t="shared" si="48"/>
        <v>0</v>
      </c>
      <c r="N79" s="66">
        <f t="shared" si="49"/>
        <v>0.4850207361861294</v>
      </c>
      <c r="O79" s="99">
        <v>-9</v>
      </c>
      <c r="P79" s="33">
        <f t="shared" si="53"/>
        <v>-47.485020736186129</v>
      </c>
      <c r="Q79" s="97">
        <f t="shared" si="57"/>
        <v>1.7844234684630762E-5</v>
      </c>
      <c r="R79" s="34">
        <v>-10</v>
      </c>
      <c r="S79" s="33">
        <f t="shared" si="54"/>
        <v>-48.485020736186129</v>
      </c>
      <c r="T79" s="97">
        <f t="shared" si="43"/>
        <v>1.4174179437048538E-5</v>
      </c>
      <c r="U79" s="34">
        <v>-13</v>
      </c>
      <c r="V79" s="33">
        <f t="shared" si="58"/>
        <v>-51.485020736186129</v>
      </c>
      <c r="W79" s="97">
        <f t="shared" si="55"/>
        <v>7.1039177809909324E-6</v>
      </c>
      <c r="X79" s="34">
        <v>-13</v>
      </c>
      <c r="Y79" s="33">
        <f t="shared" si="56"/>
        <v>-51.485020736186129</v>
      </c>
      <c r="Z79" s="97">
        <f t="shared" si="41"/>
        <v>7.1039177809909324E-6</v>
      </c>
    </row>
    <row r="80" spans="2:26" x14ac:dyDescent="0.2">
      <c r="B80" s="13">
        <v>3150</v>
      </c>
      <c r="C80" s="33">
        <f>'3º Alta Frec'!H76</f>
        <v>33.92054963751044</v>
      </c>
      <c r="D80" s="33">
        <f>'3º Alta Frec'!R76</f>
        <v>41.111546822010702</v>
      </c>
      <c r="E80" s="34">
        <f t="shared" si="39"/>
        <v>2</v>
      </c>
      <c r="F80" s="112">
        <f t="shared" si="45"/>
        <v>36.171945380651863</v>
      </c>
      <c r="G80" s="13">
        <v>56</v>
      </c>
      <c r="H80" s="18">
        <f t="shared" si="50"/>
        <v>40</v>
      </c>
      <c r="I80" s="18">
        <f t="shared" si="51"/>
        <v>39</v>
      </c>
      <c r="J80" s="18">
        <f t="shared" si="52"/>
        <v>38</v>
      </c>
      <c r="K80" s="79">
        <f t="shared" si="46"/>
        <v>0</v>
      </c>
      <c r="L80" s="33">
        <f t="shared" si="47"/>
        <v>0</v>
      </c>
      <c r="M80" s="98">
        <f t="shared" si="48"/>
        <v>0</v>
      </c>
      <c r="N80" s="66">
        <f t="shared" si="49"/>
        <v>0</v>
      </c>
      <c r="O80" s="99">
        <v>-9</v>
      </c>
      <c r="P80" s="33">
        <f t="shared" si="53"/>
        <v>-45.171945380651863</v>
      </c>
      <c r="Q80" s="97">
        <f t="shared" si="57"/>
        <v>3.0395231953049913E-5</v>
      </c>
      <c r="R80" s="34">
        <v>-10</v>
      </c>
      <c r="S80" s="33">
        <f t="shared" si="54"/>
        <v>-46.171945380651863</v>
      </c>
      <c r="T80" s="97">
        <f t="shared" si="43"/>
        <v>2.4143790941301196E-5</v>
      </c>
      <c r="U80" s="34">
        <v>-15</v>
      </c>
      <c r="V80" s="33">
        <f t="shared" si="58"/>
        <v>-51.171945380651863</v>
      </c>
      <c r="W80" s="97">
        <f t="shared" si="55"/>
        <v>7.6349370725452412E-6</v>
      </c>
      <c r="X80" s="34">
        <v>-15</v>
      </c>
      <c r="Y80" s="33">
        <f t="shared" si="56"/>
        <v>-51.171945380651863</v>
      </c>
      <c r="Z80" s="97">
        <f t="shared" si="41"/>
        <v>7.6349370725452412E-6</v>
      </c>
    </row>
    <row r="81" spans="2:26" x14ac:dyDescent="0.2">
      <c r="B81" s="13">
        <v>4000</v>
      </c>
      <c r="C81" s="33">
        <f>'3º Alta Frec'!H77</f>
        <v>34.433956064644228</v>
      </c>
      <c r="D81" s="33">
        <f>'3º Alta Frec'!R77</f>
        <v>42.814380266311836</v>
      </c>
      <c r="E81" s="34">
        <f t="shared" si="39"/>
        <v>2</v>
      </c>
      <c r="F81" s="112">
        <f t="shared" si="45"/>
        <v>36.855454085109052</v>
      </c>
      <c r="G81" s="13"/>
      <c r="H81" s="18"/>
      <c r="I81" s="18"/>
      <c r="J81" s="18"/>
      <c r="K81" s="13"/>
      <c r="L81" s="18"/>
      <c r="M81" s="95"/>
      <c r="N81" s="96"/>
      <c r="O81" s="99"/>
      <c r="P81" s="18"/>
      <c r="Q81" s="97"/>
      <c r="R81" s="34">
        <v>-10</v>
      </c>
      <c r="S81" s="33">
        <f t="shared" si="54"/>
        <v>-46.855454085109052</v>
      </c>
      <c r="T81" s="97">
        <f t="shared" si="43"/>
        <v>2.0627879771942987E-5</v>
      </c>
      <c r="U81" s="18"/>
      <c r="V81" s="18"/>
      <c r="W81" s="97"/>
      <c r="X81" s="34">
        <v>-16</v>
      </c>
      <c r="Y81" s="33">
        <f t="shared" si="56"/>
        <v>-52.855454085109052</v>
      </c>
      <c r="Z81" s="97">
        <f t="shared" si="41"/>
        <v>5.1814891309954632E-6</v>
      </c>
    </row>
    <row r="82" spans="2:26" x14ac:dyDescent="0.2">
      <c r="B82" s="15">
        <v>5000</v>
      </c>
      <c r="C82" s="23">
        <f>'3º Alta Frec'!H78</f>
        <v>37.691206337757649</v>
      </c>
      <c r="D82" s="23">
        <f>'3º Alta Frec'!R78</f>
        <v>46.047484874981436</v>
      </c>
      <c r="E82" s="24">
        <f t="shared" si="39"/>
        <v>2</v>
      </c>
      <c r="F82" s="113">
        <f t="shared" si="45"/>
        <v>40.109635541586492</v>
      </c>
      <c r="G82" s="15"/>
      <c r="H82" s="16"/>
      <c r="I82" s="16"/>
      <c r="J82" s="16"/>
      <c r="K82" s="13"/>
      <c r="L82" s="18"/>
      <c r="M82" s="95"/>
      <c r="N82" s="96"/>
      <c r="O82" s="13"/>
      <c r="P82" s="18"/>
      <c r="Q82" s="97"/>
      <c r="R82" s="34">
        <v>-10</v>
      </c>
      <c r="S82" s="33">
        <f t="shared" si="54"/>
        <v>-50.109635541586492</v>
      </c>
      <c r="T82" s="97">
        <f t="shared" si="43"/>
        <v>9.7507146194078975E-6</v>
      </c>
      <c r="U82" s="18"/>
      <c r="V82" s="18"/>
      <c r="W82" s="97"/>
      <c r="X82" s="34">
        <v>-18</v>
      </c>
      <c r="Y82" s="33">
        <f t="shared" si="56"/>
        <v>-58.109635541586492</v>
      </c>
      <c r="Z82" s="97">
        <f t="shared" si="41"/>
        <v>1.5453841221930641E-6</v>
      </c>
    </row>
    <row r="83" spans="2:26" x14ac:dyDescent="0.2">
      <c r="K83" s="80">
        <f>SUM(K65:K80)</f>
        <v>0</v>
      </c>
      <c r="L83" s="23">
        <f t="shared" ref="L83:N83" si="59">SUM(L65:L80)</f>
        <v>23.344179316313927</v>
      </c>
      <c r="M83" s="102">
        <f t="shared" si="59"/>
        <v>28.665143171054126</v>
      </c>
      <c r="N83" s="59">
        <f t="shared" si="59"/>
        <v>35.150163907240255</v>
      </c>
      <c r="O83" s="79" t="s">
        <v>134</v>
      </c>
      <c r="P83" s="33">
        <f>52-17</f>
        <v>35</v>
      </c>
      <c r="Q83" s="103">
        <f>-10*LOG10(SUM(Q62:Q82))</f>
        <v>34.804704236438916</v>
      </c>
      <c r="R83" s="34"/>
      <c r="S83" s="33"/>
      <c r="T83" s="103">
        <f>-10*LOG10(SUM(T62:T82))</f>
        <v>35.2607823703067</v>
      </c>
      <c r="U83" s="33"/>
      <c r="V83" s="33"/>
      <c r="W83" s="103">
        <f>-10*LOG10(SUM(W62:W82))</f>
        <v>33.13417404770027</v>
      </c>
      <c r="X83" s="34"/>
      <c r="Y83" s="33"/>
      <c r="Z83" s="103">
        <f>-10*LOG10(SUM(Z62:Z82))</f>
        <v>32.063188138583193</v>
      </c>
    </row>
    <row r="84" spans="2:26" x14ac:dyDescent="0.2">
      <c r="O84" s="15"/>
      <c r="P84" s="16"/>
      <c r="Q84" s="114">
        <f>ROUND(Q83,0)-P83</f>
        <v>0</v>
      </c>
      <c r="R84" s="16"/>
      <c r="S84" s="16"/>
      <c r="T84" s="114">
        <f>ROUND(T83,0)-P83</f>
        <v>0</v>
      </c>
      <c r="U84" s="16"/>
      <c r="V84" s="16"/>
      <c r="W84" s="114">
        <f>ROUND(W83,0)-P83</f>
        <v>-2</v>
      </c>
      <c r="X84" s="16"/>
      <c r="Y84" s="16"/>
      <c r="Z84" s="114">
        <f>ROUND(Z83,0)-P83</f>
        <v>-3</v>
      </c>
    </row>
    <row r="87" spans="2:26" x14ac:dyDescent="0.2">
      <c r="D87" s="2" t="s">
        <v>92</v>
      </c>
    </row>
    <row r="88" spans="2:26" x14ac:dyDescent="0.2">
      <c r="F88" s="172" t="s">
        <v>45</v>
      </c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4"/>
    </row>
    <row r="89" spans="2:26" x14ac:dyDescent="0.2">
      <c r="B89" s="61" t="s">
        <v>45</v>
      </c>
      <c r="C89" s="62"/>
      <c r="D89" s="62"/>
      <c r="E89" s="62"/>
      <c r="F89" s="184"/>
      <c r="G89" s="162" t="s">
        <v>96</v>
      </c>
      <c r="H89" s="163"/>
      <c r="I89" s="163"/>
      <c r="J89" s="163"/>
      <c r="K89" s="186" t="s">
        <v>95</v>
      </c>
      <c r="L89" s="187"/>
      <c r="M89" s="187"/>
      <c r="N89" s="188"/>
      <c r="O89" s="189" t="s">
        <v>99</v>
      </c>
      <c r="P89" s="190"/>
      <c r="Q89" s="191"/>
      <c r="R89" s="192" t="s">
        <v>97</v>
      </c>
      <c r="S89" s="192"/>
      <c r="T89" s="193"/>
      <c r="U89" s="190" t="s">
        <v>100</v>
      </c>
      <c r="V89" s="190"/>
      <c r="W89" s="191"/>
      <c r="X89" s="192" t="s">
        <v>98</v>
      </c>
      <c r="Y89" s="192"/>
      <c r="Z89" s="193"/>
    </row>
    <row r="90" spans="2:26" ht="31" customHeight="1" x14ac:dyDescent="0.2">
      <c r="B90" s="28"/>
      <c r="C90" s="29"/>
      <c r="D90" s="29"/>
      <c r="E90" s="29"/>
      <c r="F90" s="185"/>
      <c r="G90" s="15" t="s">
        <v>94</v>
      </c>
      <c r="H90" s="16" t="s">
        <v>87</v>
      </c>
      <c r="I90" s="107" t="s">
        <v>103</v>
      </c>
      <c r="J90" s="16" t="s">
        <v>104</v>
      </c>
      <c r="K90" s="15" t="s">
        <v>94</v>
      </c>
      <c r="L90" s="16" t="s">
        <v>87</v>
      </c>
      <c r="M90" s="16" t="s">
        <v>103</v>
      </c>
      <c r="N90" s="16" t="s">
        <v>104</v>
      </c>
      <c r="O90" s="142" t="s">
        <v>126</v>
      </c>
      <c r="P90" s="143"/>
      <c r="Q90" s="145"/>
      <c r="R90" s="144" t="s">
        <v>126</v>
      </c>
      <c r="S90" s="144"/>
      <c r="T90" s="145"/>
      <c r="U90" s="144" t="s">
        <v>126</v>
      </c>
      <c r="V90" s="143"/>
      <c r="W90" s="145"/>
      <c r="X90" s="144" t="s">
        <v>126</v>
      </c>
      <c r="Y90" s="144"/>
      <c r="Z90" s="145"/>
    </row>
    <row r="91" spans="2:26" x14ac:dyDescent="0.2">
      <c r="B91" s="13">
        <v>50</v>
      </c>
      <c r="C91" s="33">
        <f>'3º Alta Frec'!H85</f>
        <v>27.270729259620158</v>
      </c>
      <c r="D91" s="33">
        <f>'3º Alta Frec'!R85</f>
        <v>24.314418440537327</v>
      </c>
      <c r="E91" s="34">
        <f t="shared" ref="E91:E111" si="60">COUNT(C91:D91)</f>
        <v>2</v>
      </c>
      <c r="F91" s="111">
        <v>23.596593153395663</v>
      </c>
      <c r="G91" s="13"/>
      <c r="H91" s="18"/>
      <c r="I91" s="18"/>
      <c r="J91" s="18"/>
      <c r="K91" s="13"/>
      <c r="L91" s="18"/>
      <c r="M91" s="95"/>
      <c r="N91" s="96"/>
      <c r="O91" s="13"/>
      <c r="P91" s="18"/>
      <c r="Q91" s="97"/>
      <c r="R91" s="34">
        <v>-41</v>
      </c>
      <c r="S91" s="33">
        <f>R91-F91</f>
        <v>-64.596593153395659</v>
      </c>
      <c r="T91" s="97">
        <f>10^(S91/10)</f>
        <v>3.4700895676804819E-7</v>
      </c>
      <c r="U91" s="18"/>
      <c r="V91" s="18"/>
      <c r="W91" s="97"/>
      <c r="X91" s="34">
        <v>-25</v>
      </c>
      <c r="Y91" s="33">
        <f t="shared" ref="Y91" si="61">X91-F91</f>
        <v>-48.596593153395659</v>
      </c>
      <c r="Z91" s="97">
        <f t="shared" ref="Z91:Z111" si="62">10^(Y91/10)</f>
        <v>1.3814675393564862E-5</v>
      </c>
    </row>
    <row r="92" spans="2:26" x14ac:dyDescent="0.2">
      <c r="B92" s="13">
        <v>63</v>
      </c>
      <c r="C92" s="33">
        <f>'3º Alta Frec'!H86</f>
        <v>33.750034797497122</v>
      </c>
      <c r="D92" s="33">
        <f>'3º Alta Frec'!R86</f>
        <v>27.07065614670838</v>
      </c>
      <c r="E92" s="34">
        <f t="shared" si="60"/>
        <v>2</v>
      </c>
      <c r="F92" s="112">
        <v>20.040525988516585</v>
      </c>
      <c r="G92" s="13"/>
      <c r="H92" s="18"/>
      <c r="I92" s="18"/>
      <c r="J92" s="18"/>
      <c r="K92" s="13"/>
      <c r="L92" s="18"/>
      <c r="M92" s="95"/>
      <c r="N92" s="96"/>
      <c r="O92" s="13"/>
      <c r="P92" s="18"/>
      <c r="Q92" s="97"/>
      <c r="R92" s="34">
        <v>-37</v>
      </c>
      <c r="S92" s="33">
        <f t="shared" ref="S92:S93" si="63">R92-F92</f>
        <v>-57.040525988516585</v>
      </c>
      <c r="T92" s="97">
        <f t="shared" ref="T92:T111" si="64">10^(S92/10)</f>
        <v>1.9767302172309413E-6</v>
      </c>
      <c r="U92" s="18"/>
      <c r="V92" s="18"/>
      <c r="W92" s="97"/>
      <c r="X92" s="34">
        <v>-23</v>
      </c>
      <c r="Y92" s="33">
        <f>X92-F92</f>
        <v>-43.040525988516585</v>
      </c>
      <c r="Z92" s="97">
        <f t="shared" si="62"/>
        <v>4.9653218114173994E-5</v>
      </c>
    </row>
    <row r="93" spans="2:26" x14ac:dyDescent="0.2">
      <c r="B93" s="13">
        <v>80</v>
      </c>
      <c r="C93" s="33">
        <f>'3º Alta Frec'!H87</f>
        <v>27.703921966696445</v>
      </c>
      <c r="D93" s="33">
        <f>'3º Alta Frec'!R87</f>
        <v>24.946856311087874</v>
      </c>
      <c r="E93" s="34">
        <f t="shared" si="60"/>
        <v>2</v>
      </c>
      <c r="F93" s="112">
        <v>22.014831692051281</v>
      </c>
      <c r="G93" s="13"/>
      <c r="H93" s="18"/>
      <c r="I93" s="18"/>
      <c r="J93" s="18"/>
      <c r="K93" s="13"/>
      <c r="L93" s="18"/>
      <c r="M93" s="95"/>
      <c r="N93" s="96"/>
      <c r="O93" s="13"/>
      <c r="P93" s="18"/>
      <c r="Q93" s="97"/>
      <c r="R93" s="34">
        <v>-34</v>
      </c>
      <c r="S93" s="33">
        <f t="shared" si="63"/>
        <v>-56.014831692051281</v>
      </c>
      <c r="T93" s="97">
        <f t="shared" si="64"/>
        <v>2.5033226611142929E-6</v>
      </c>
      <c r="U93" s="18"/>
      <c r="V93" s="18"/>
      <c r="W93" s="97"/>
      <c r="X93" s="34">
        <v>-21</v>
      </c>
      <c r="Y93" s="33">
        <f t="shared" ref="Y93" si="65">X93-F93</f>
        <v>-43.014831692051281</v>
      </c>
      <c r="Z93" s="97">
        <f t="shared" si="62"/>
        <v>4.99478536792896E-5</v>
      </c>
    </row>
    <row r="94" spans="2:26" x14ac:dyDescent="0.2">
      <c r="B94" s="13">
        <v>100</v>
      </c>
      <c r="C94" s="33">
        <f>'3º Alta Frec'!H88</f>
        <v>31.32969671392252</v>
      </c>
      <c r="D94" s="33">
        <f>'3º Alta Frec'!R88</f>
        <v>33.645441722902142</v>
      </c>
      <c r="E94" s="34">
        <f t="shared" si="60"/>
        <v>2</v>
      </c>
      <c r="F94" s="112">
        <f t="shared" ref="F94:F111" si="66">-10*LOG10((10^(-C94/10)+10^(-D94/10))/E94)</f>
        <v>32.335013655140031</v>
      </c>
      <c r="G94" s="13">
        <v>33</v>
      </c>
      <c r="H94" s="34">
        <f>$G94-12</f>
        <v>21</v>
      </c>
      <c r="I94" s="34">
        <f>$G94-13</f>
        <v>20</v>
      </c>
      <c r="J94" s="34">
        <f>$G94-14</f>
        <v>19</v>
      </c>
      <c r="K94" s="79">
        <f t="shared" ref="K94:K109" si="67">IF((F94-G94)&gt;0,F94-G94,0)</f>
        <v>0</v>
      </c>
      <c r="L94" s="33">
        <f t="shared" ref="L94:L109" si="68">IF((F94-H94)&gt;0,F94-H94,0)</f>
        <v>11.335013655140031</v>
      </c>
      <c r="M94" s="98">
        <f t="shared" ref="M94:M109" si="69">IF((F94-I94)&gt;0,F94-I94,0)</f>
        <v>12.335013655140031</v>
      </c>
      <c r="N94" s="66">
        <f t="shared" ref="N94:N109" si="70">IF((F94-J94)&gt;0,F94-J94,0)</f>
        <v>13.335013655140031</v>
      </c>
      <c r="O94" s="99">
        <v>-29</v>
      </c>
      <c r="P94" s="33">
        <f>O94-F94</f>
        <v>-61.335013655140031</v>
      </c>
      <c r="Q94" s="97">
        <f>10^(P94/10)</f>
        <v>7.3535768335117414E-7</v>
      </c>
      <c r="R94" s="34">
        <v>-30</v>
      </c>
      <c r="S94" s="33">
        <f>R94-F94</f>
        <v>-62.335013655140031</v>
      </c>
      <c r="T94" s="97">
        <f>10^(S94/10)</f>
        <v>5.841153705072748E-7</v>
      </c>
      <c r="U94" s="34">
        <v>-20</v>
      </c>
      <c r="V94" s="33">
        <f>U94-F94</f>
        <v>-52.335013655140031</v>
      </c>
      <c r="W94" s="97">
        <f>10^(V94/10)</f>
        <v>5.8411537050727442E-6</v>
      </c>
      <c r="X94" s="34">
        <v>-20</v>
      </c>
      <c r="Y94" s="33">
        <f>X94-F94</f>
        <v>-52.335013655140031</v>
      </c>
      <c r="Z94" s="97">
        <f>10^(Y94/10)</f>
        <v>5.8411537050727442E-6</v>
      </c>
    </row>
    <row r="95" spans="2:26" x14ac:dyDescent="0.2">
      <c r="B95" s="13">
        <v>125</v>
      </c>
      <c r="C95" s="33">
        <f>'3º Alta Frec'!H89</f>
        <v>24.527051317814323</v>
      </c>
      <c r="D95" s="33">
        <f>'3º Alta Frec'!R89</f>
        <v>33.086461975819098</v>
      </c>
      <c r="E95" s="34">
        <f t="shared" si="60"/>
        <v>2</v>
      </c>
      <c r="F95" s="112">
        <f t="shared" si="66"/>
        <v>26.970838459592045</v>
      </c>
      <c r="G95" s="13">
        <v>36</v>
      </c>
      <c r="H95" s="34">
        <f t="shared" ref="H95:H109" si="71">$G95-12</f>
        <v>24</v>
      </c>
      <c r="I95" s="34">
        <f t="shared" ref="I95:I109" si="72">$G95-13</f>
        <v>23</v>
      </c>
      <c r="J95" s="34">
        <f t="shared" ref="J95:J109" si="73">$G95-14</f>
        <v>22</v>
      </c>
      <c r="K95" s="79">
        <f t="shared" si="67"/>
        <v>0</v>
      </c>
      <c r="L95" s="33">
        <f t="shared" si="68"/>
        <v>2.970838459592045</v>
      </c>
      <c r="M95" s="98">
        <f t="shared" si="69"/>
        <v>3.970838459592045</v>
      </c>
      <c r="N95" s="66">
        <f t="shared" si="70"/>
        <v>4.970838459592045</v>
      </c>
      <c r="O95" s="99">
        <v>-26</v>
      </c>
      <c r="P95" s="33">
        <f t="shared" ref="P95:P109" si="74">O95-F95</f>
        <v>-52.970838459592045</v>
      </c>
      <c r="Q95" s="97">
        <f>10^(P95/10)</f>
        <v>5.0456387581862996E-6</v>
      </c>
      <c r="R95" s="34">
        <v>-27</v>
      </c>
      <c r="S95" s="33">
        <f t="shared" ref="S95:S111" si="75">R95-F95</f>
        <v>-53.970838459592045</v>
      </c>
      <c r="T95" s="97">
        <f t="shared" si="64"/>
        <v>4.0078933278465428E-6</v>
      </c>
      <c r="U95" s="34">
        <v>-20</v>
      </c>
      <c r="V95" s="33">
        <f>U95-F95</f>
        <v>-46.970838459592045</v>
      </c>
      <c r="W95" s="97">
        <f t="shared" ref="W95:W109" si="76">10^(V95/10)</f>
        <v>2.008704969656612E-5</v>
      </c>
      <c r="X95" s="34">
        <v>-20</v>
      </c>
      <c r="Y95" s="33">
        <f t="shared" ref="Y95:Y111" si="77">X95-F95</f>
        <v>-46.970838459592045</v>
      </c>
      <c r="Z95" s="97">
        <f t="shared" si="62"/>
        <v>2.008704969656612E-5</v>
      </c>
    </row>
    <row r="96" spans="2:26" x14ac:dyDescent="0.2">
      <c r="B96" s="13">
        <v>160</v>
      </c>
      <c r="C96" s="33">
        <f>'3º Alta Frec'!H90</f>
        <v>28.310658758829984</v>
      </c>
      <c r="D96" s="33">
        <f>'3º Alta Frec'!R90</f>
        <v>35.044564949209686</v>
      </c>
      <c r="E96" s="34">
        <f t="shared" si="60"/>
        <v>2</v>
      </c>
      <c r="F96" s="112">
        <f t="shared" si="66"/>
        <v>30.485453958461797</v>
      </c>
      <c r="G96" s="13">
        <v>39</v>
      </c>
      <c r="H96" s="34">
        <f t="shared" si="71"/>
        <v>27</v>
      </c>
      <c r="I96" s="34">
        <f t="shared" si="72"/>
        <v>26</v>
      </c>
      <c r="J96" s="34">
        <f t="shared" si="73"/>
        <v>25</v>
      </c>
      <c r="K96" s="79">
        <f t="shared" si="67"/>
        <v>0</v>
      </c>
      <c r="L96" s="33">
        <f t="shared" si="68"/>
        <v>3.4854539584617967</v>
      </c>
      <c r="M96" s="98">
        <f t="shared" si="69"/>
        <v>4.4854539584617967</v>
      </c>
      <c r="N96" s="66">
        <f t="shared" si="70"/>
        <v>5.4854539584617967</v>
      </c>
      <c r="O96" s="99">
        <v>-23</v>
      </c>
      <c r="P96" s="33">
        <f t="shared" si="74"/>
        <v>-53.485453958461797</v>
      </c>
      <c r="Q96" s="97">
        <f t="shared" ref="Q96:Q109" si="78">10^(P96/10)</f>
        <v>4.4818220004931504E-6</v>
      </c>
      <c r="R96" s="34">
        <v>-24</v>
      </c>
      <c r="S96" s="33">
        <f t="shared" si="75"/>
        <v>-54.485453958461797</v>
      </c>
      <c r="T96" s="97">
        <f t="shared" si="64"/>
        <v>3.5600377580001687E-6</v>
      </c>
      <c r="U96" s="34">
        <v>-18</v>
      </c>
      <c r="V96" s="33">
        <f t="shared" ref="V96:V109" si="79">U96-F96</f>
        <v>-48.485453958461797</v>
      </c>
      <c r="W96" s="97">
        <f t="shared" si="76"/>
        <v>1.4172765589010654E-5</v>
      </c>
      <c r="X96" s="34">
        <v>-18</v>
      </c>
      <c r="Y96" s="33">
        <f t="shared" si="77"/>
        <v>-48.485453958461797</v>
      </c>
      <c r="Z96" s="97">
        <f t="shared" si="62"/>
        <v>1.4172765589010654E-5</v>
      </c>
    </row>
    <row r="97" spans="2:26" x14ac:dyDescent="0.2">
      <c r="B97" s="13">
        <v>200</v>
      </c>
      <c r="C97" s="33">
        <f>'3º Alta Frec'!H91</f>
        <v>34.720800013708512</v>
      </c>
      <c r="D97" s="33">
        <f>'3º Alta Frec'!R91</f>
        <v>32.783240379027148</v>
      </c>
      <c r="E97" s="34">
        <f t="shared" si="60"/>
        <v>2</v>
      </c>
      <c r="F97" s="112">
        <f t="shared" si="66"/>
        <v>33.644851843759525</v>
      </c>
      <c r="G97" s="13">
        <v>42</v>
      </c>
      <c r="H97" s="34">
        <f t="shared" si="71"/>
        <v>30</v>
      </c>
      <c r="I97" s="34">
        <f t="shared" si="72"/>
        <v>29</v>
      </c>
      <c r="J97" s="34">
        <f t="shared" si="73"/>
        <v>28</v>
      </c>
      <c r="K97" s="79">
        <f t="shared" si="67"/>
        <v>0</v>
      </c>
      <c r="L97" s="33">
        <f t="shared" si="68"/>
        <v>3.6448518437595254</v>
      </c>
      <c r="M97" s="98">
        <f t="shared" si="69"/>
        <v>4.6448518437595254</v>
      </c>
      <c r="N97" s="66">
        <f t="shared" si="70"/>
        <v>5.6448518437595254</v>
      </c>
      <c r="O97" s="99">
        <v>-21</v>
      </c>
      <c r="P97" s="33">
        <f t="shared" si="74"/>
        <v>-54.644851843759525</v>
      </c>
      <c r="Q97" s="97">
        <f t="shared" si="78"/>
        <v>3.4317434672711618E-6</v>
      </c>
      <c r="R97" s="34">
        <v>-22</v>
      </c>
      <c r="S97" s="33">
        <f t="shared" si="75"/>
        <v>-55.644851843759525</v>
      </c>
      <c r="T97" s="97">
        <f t="shared" si="64"/>
        <v>2.72593073038409E-6</v>
      </c>
      <c r="U97" s="34">
        <v>-16</v>
      </c>
      <c r="V97" s="33">
        <f t="shared" si="79"/>
        <v>-49.644851843759525</v>
      </c>
      <c r="W97" s="97">
        <f t="shared" si="76"/>
        <v>1.0852125701980377E-5</v>
      </c>
      <c r="X97" s="34">
        <v>-16</v>
      </c>
      <c r="Y97" s="33">
        <f t="shared" si="77"/>
        <v>-49.644851843759525</v>
      </c>
      <c r="Z97" s="97">
        <f t="shared" si="62"/>
        <v>1.0852125701980377E-5</v>
      </c>
    </row>
    <row r="98" spans="2:26" x14ac:dyDescent="0.2">
      <c r="B98" s="13">
        <v>250</v>
      </c>
      <c r="C98" s="33">
        <f>'3º Alta Frec'!H92</f>
        <v>35.206110034469113</v>
      </c>
      <c r="D98" s="33">
        <f>'3º Alta Frec'!R92</f>
        <v>30.501807781760437</v>
      </c>
      <c r="E98" s="34">
        <f t="shared" si="60"/>
        <v>2</v>
      </c>
      <c r="F98" s="112">
        <f t="shared" si="66"/>
        <v>32.245895907234747</v>
      </c>
      <c r="G98" s="100">
        <v>45</v>
      </c>
      <c r="H98" s="34">
        <f t="shared" si="71"/>
        <v>33</v>
      </c>
      <c r="I98" s="34">
        <f t="shared" si="72"/>
        <v>32</v>
      </c>
      <c r="J98" s="34">
        <f t="shared" si="73"/>
        <v>31</v>
      </c>
      <c r="K98" s="79">
        <f t="shared" si="67"/>
        <v>0</v>
      </c>
      <c r="L98" s="33">
        <f t="shared" si="68"/>
        <v>0</v>
      </c>
      <c r="M98" s="98">
        <f t="shared" si="69"/>
        <v>0.24589590723474686</v>
      </c>
      <c r="N98" s="66">
        <f t="shared" si="70"/>
        <v>1.2458959072347469</v>
      </c>
      <c r="O98" s="99">
        <v>-19</v>
      </c>
      <c r="P98" s="33">
        <f t="shared" si="74"/>
        <v>-51.245895907234747</v>
      </c>
      <c r="Q98" s="97">
        <f t="shared" si="78"/>
        <v>7.5060319601590242E-6</v>
      </c>
      <c r="R98" s="34">
        <v>-20</v>
      </c>
      <c r="S98" s="33">
        <f t="shared" si="75"/>
        <v>-52.245895907234747</v>
      </c>
      <c r="T98" s="97">
        <f t="shared" si="64"/>
        <v>5.9622531166971617E-6</v>
      </c>
      <c r="U98" s="34">
        <v>-15</v>
      </c>
      <c r="V98" s="33">
        <f t="shared" si="79"/>
        <v>-47.245895907234747</v>
      </c>
      <c r="W98" s="97">
        <f t="shared" si="76"/>
        <v>1.8854299835200741E-5</v>
      </c>
      <c r="X98" s="34">
        <v>-15</v>
      </c>
      <c r="Y98" s="33">
        <f t="shared" si="77"/>
        <v>-47.245895907234747</v>
      </c>
      <c r="Z98" s="97">
        <f t="shared" si="62"/>
        <v>1.8854299835200741E-5</v>
      </c>
    </row>
    <row r="99" spans="2:26" x14ac:dyDescent="0.2">
      <c r="B99" s="13">
        <v>315</v>
      </c>
      <c r="C99" s="33">
        <f>'3º Alta Frec'!H93</f>
        <v>29.454954991450879</v>
      </c>
      <c r="D99" s="33">
        <f>'3º Alta Frec'!R93</f>
        <v>32.401759469134809</v>
      </c>
      <c r="E99" s="34">
        <f t="shared" si="60"/>
        <v>2</v>
      </c>
      <c r="F99" s="112">
        <f t="shared" si="66"/>
        <v>30.683073883416686</v>
      </c>
      <c r="G99" s="100">
        <v>48</v>
      </c>
      <c r="H99" s="34">
        <f t="shared" si="71"/>
        <v>36</v>
      </c>
      <c r="I99" s="34">
        <f t="shared" si="72"/>
        <v>35</v>
      </c>
      <c r="J99" s="34">
        <f t="shared" si="73"/>
        <v>34</v>
      </c>
      <c r="K99" s="79">
        <f t="shared" si="67"/>
        <v>0</v>
      </c>
      <c r="L99" s="33">
        <f t="shared" si="68"/>
        <v>0</v>
      </c>
      <c r="M99" s="98">
        <f t="shared" si="69"/>
        <v>0</v>
      </c>
      <c r="N99" s="66">
        <f t="shared" si="70"/>
        <v>0</v>
      </c>
      <c r="O99" s="99">
        <v>-17</v>
      </c>
      <c r="P99" s="33">
        <f t="shared" si="74"/>
        <v>-47.683073883416682</v>
      </c>
      <c r="Q99" s="97">
        <f t="shared" si="78"/>
        <v>1.7048752719214985E-5</v>
      </c>
      <c r="R99" s="34">
        <v>-18</v>
      </c>
      <c r="S99" s="33">
        <f t="shared" si="75"/>
        <v>-48.683073883416682</v>
      </c>
      <c r="T99" s="97">
        <f t="shared" si="64"/>
        <v>1.3542305651704845E-5</v>
      </c>
      <c r="U99" s="34">
        <v>-14</v>
      </c>
      <c r="V99" s="33">
        <f t="shared" si="79"/>
        <v>-44.683073883416682</v>
      </c>
      <c r="W99" s="97">
        <f t="shared" si="76"/>
        <v>3.4016733817872835E-5</v>
      </c>
      <c r="X99" s="34">
        <v>-14</v>
      </c>
      <c r="Y99" s="33">
        <f t="shared" si="77"/>
        <v>-44.683073883416682</v>
      </c>
      <c r="Z99" s="97">
        <f t="shared" si="62"/>
        <v>3.4016733817872835E-5</v>
      </c>
    </row>
    <row r="100" spans="2:26" x14ac:dyDescent="0.2">
      <c r="B100" s="13">
        <v>400</v>
      </c>
      <c r="C100" s="33">
        <f>'3º Alta Frec'!H94</f>
        <v>34.536763013161568</v>
      </c>
      <c r="D100" s="33">
        <f>'3º Alta Frec'!R94</f>
        <v>32.84128547959704</v>
      </c>
      <c r="E100" s="34">
        <f t="shared" si="60"/>
        <v>2</v>
      </c>
      <c r="F100" s="112">
        <f t="shared" si="66"/>
        <v>33.606805490393349</v>
      </c>
      <c r="G100" s="100">
        <v>51</v>
      </c>
      <c r="H100" s="34">
        <f t="shared" si="71"/>
        <v>39</v>
      </c>
      <c r="I100" s="34">
        <f t="shared" si="72"/>
        <v>38</v>
      </c>
      <c r="J100" s="34">
        <f t="shared" si="73"/>
        <v>37</v>
      </c>
      <c r="K100" s="79">
        <f t="shared" si="67"/>
        <v>0</v>
      </c>
      <c r="L100" s="33">
        <f t="shared" si="68"/>
        <v>0</v>
      </c>
      <c r="M100" s="98">
        <f t="shared" si="69"/>
        <v>0</v>
      </c>
      <c r="N100" s="66">
        <f t="shared" si="70"/>
        <v>0</v>
      </c>
      <c r="O100" s="99">
        <v>-15</v>
      </c>
      <c r="P100" s="33">
        <f t="shared" si="74"/>
        <v>-48.606805490393349</v>
      </c>
      <c r="Q100" s="97">
        <f t="shared" si="78"/>
        <v>1.3782228659130097E-5</v>
      </c>
      <c r="R100" s="34">
        <v>-16</v>
      </c>
      <c r="S100" s="33">
        <f t="shared" si="75"/>
        <v>-49.606805490393349</v>
      </c>
      <c r="T100" s="97">
        <f t="shared" si="64"/>
        <v>1.0947613361373219E-5</v>
      </c>
      <c r="U100" s="34">
        <v>-13</v>
      </c>
      <c r="V100" s="33">
        <f t="shared" si="79"/>
        <v>-46.606805490393349</v>
      </c>
      <c r="W100" s="97">
        <f t="shared" si="76"/>
        <v>2.1843360378797744E-5</v>
      </c>
      <c r="X100" s="34">
        <v>-13</v>
      </c>
      <c r="Y100" s="33">
        <f t="shared" si="77"/>
        <v>-46.606805490393349</v>
      </c>
      <c r="Z100" s="97">
        <f t="shared" si="62"/>
        <v>2.1843360378797744E-5</v>
      </c>
    </row>
    <row r="101" spans="2:26" x14ac:dyDescent="0.2">
      <c r="B101" s="13">
        <v>500</v>
      </c>
      <c r="C101" s="33">
        <f>'3º Alta Frec'!H95</f>
        <v>32.361220121934458</v>
      </c>
      <c r="D101" s="33">
        <f>'3º Alta Frec'!R95</f>
        <v>32.879974095802019</v>
      </c>
      <c r="E101" s="34">
        <f t="shared" si="60"/>
        <v>2</v>
      </c>
      <c r="F101" s="112">
        <f t="shared" si="66"/>
        <v>32.612856224844109</v>
      </c>
      <c r="G101" s="101">
        <v>52</v>
      </c>
      <c r="H101" s="34">
        <f t="shared" si="71"/>
        <v>40</v>
      </c>
      <c r="I101" s="115">
        <f t="shared" si="72"/>
        <v>39</v>
      </c>
      <c r="J101" s="34">
        <f t="shared" si="73"/>
        <v>38</v>
      </c>
      <c r="K101" s="79">
        <f t="shared" si="67"/>
        <v>0</v>
      </c>
      <c r="L101" s="33">
        <f t="shared" si="68"/>
        <v>0</v>
      </c>
      <c r="M101" s="98">
        <f t="shared" si="69"/>
        <v>0</v>
      </c>
      <c r="N101" s="66">
        <f t="shared" si="70"/>
        <v>0</v>
      </c>
      <c r="O101" s="99">
        <v>-13</v>
      </c>
      <c r="P101" s="33">
        <f t="shared" si="74"/>
        <v>-45.612856224844109</v>
      </c>
      <c r="Q101" s="97">
        <f t="shared" si="78"/>
        <v>2.7460875394920795E-5</v>
      </c>
      <c r="R101" s="34">
        <v>-14</v>
      </c>
      <c r="S101" s="33">
        <f t="shared" si="75"/>
        <v>-46.612856224844109</v>
      </c>
      <c r="T101" s="97">
        <f t="shared" si="64"/>
        <v>2.1812948676430836E-5</v>
      </c>
      <c r="U101" s="34">
        <v>-12</v>
      </c>
      <c r="V101" s="33">
        <f t="shared" si="79"/>
        <v>-44.612856224844109</v>
      </c>
      <c r="W101" s="97">
        <f t="shared" si="76"/>
        <v>3.4571193864778944E-5</v>
      </c>
      <c r="X101" s="34">
        <v>-12</v>
      </c>
      <c r="Y101" s="33">
        <f t="shared" si="77"/>
        <v>-44.612856224844109</v>
      </c>
      <c r="Z101" s="97">
        <f t="shared" si="62"/>
        <v>3.4571193864778944E-5</v>
      </c>
    </row>
    <row r="102" spans="2:26" x14ac:dyDescent="0.2">
      <c r="B102" s="13">
        <v>630</v>
      </c>
      <c r="C102" s="33">
        <f>'3º Alta Frec'!H96</f>
        <v>33.811949352757587</v>
      </c>
      <c r="D102" s="33">
        <f>'3º Alta Frec'!R96</f>
        <v>35.015392478877224</v>
      </c>
      <c r="E102" s="34">
        <f t="shared" si="60"/>
        <v>2</v>
      </c>
      <c r="F102" s="112">
        <f t="shared" si="66"/>
        <v>34.372118888358045</v>
      </c>
      <c r="G102" s="13">
        <v>53</v>
      </c>
      <c r="H102" s="34">
        <f t="shared" si="71"/>
        <v>41</v>
      </c>
      <c r="I102" s="34">
        <f t="shared" si="72"/>
        <v>40</v>
      </c>
      <c r="J102" s="34">
        <f t="shared" si="73"/>
        <v>39</v>
      </c>
      <c r="K102" s="79">
        <f t="shared" si="67"/>
        <v>0</v>
      </c>
      <c r="L102" s="33">
        <f t="shared" si="68"/>
        <v>0</v>
      </c>
      <c r="M102" s="98">
        <f t="shared" si="69"/>
        <v>0</v>
      </c>
      <c r="N102" s="66">
        <f t="shared" si="70"/>
        <v>0</v>
      </c>
      <c r="O102" s="99">
        <v>-12</v>
      </c>
      <c r="P102" s="33">
        <f t="shared" si="74"/>
        <v>-46.372118888358045</v>
      </c>
      <c r="Q102" s="97">
        <f t="shared" si="78"/>
        <v>2.3056220195512446E-5</v>
      </c>
      <c r="R102" s="34">
        <v>-13</v>
      </c>
      <c r="S102" s="33">
        <f t="shared" si="75"/>
        <v>-47.372118888358045</v>
      </c>
      <c r="T102" s="97">
        <f t="shared" si="64"/>
        <v>1.8314206687315745E-5</v>
      </c>
      <c r="U102" s="34">
        <v>-11</v>
      </c>
      <c r="V102" s="33">
        <f t="shared" si="79"/>
        <v>-45.372118888358045</v>
      </c>
      <c r="W102" s="97">
        <f t="shared" si="76"/>
        <v>2.9026061504052519E-5</v>
      </c>
      <c r="X102" s="34">
        <v>-11</v>
      </c>
      <c r="Y102" s="33">
        <f t="shared" si="77"/>
        <v>-45.372118888358045</v>
      </c>
      <c r="Z102" s="97">
        <f t="shared" si="62"/>
        <v>2.9026061504052519E-5</v>
      </c>
    </row>
    <row r="103" spans="2:26" x14ac:dyDescent="0.2">
      <c r="B103" s="13">
        <v>800</v>
      </c>
      <c r="C103" s="33">
        <f>'3º Alta Frec'!H97</f>
        <v>35.992027810796458</v>
      </c>
      <c r="D103" s="33">
        <f>'3º Alta Frec'!R97</f>
        <v>36.263597588842515</v>
      </c>
      <c r="E103" s="34">
        <f t="shared" si="60"/>
        <v>2</v>
      </c>
      <c r="F103" s="112">
        <f t="shared" si="66"/>
        <v>36.125690345779191</v>
      </c>
      <c r="G103" s="13">
        <v>54</v>
      </c>
      <c r="H103" s="34">
        <f t="shared" si="71"/>
        <v>42</v>
      </c>
      <c r="I103" s="34">
        <f t="shared" si="72"/>
        <v>41</v>
      </c>
      <c r="J103" s="34">
        <f t="shared" si="73"/>
        <v>40</v>
      </c>
      <c r="K103" s="79">
        <f t="shared" si="67"/>
        <v>0</v>
      </c>
      <c r="L103" s="33">
        <f t="shared" si="68"/>
        <v>0</v>
      </c>
      <c r="M103" s="98">
        <f t="shared" si="69"/>
        <v>0</v>
      </c>
      <c r="N103" s="66">
        <f t="shared" si="70"/>
        <v>0</v>
      </c>
      <c r="O103" s="99">
        <v>-11</v>
      </c>
      <c r="P103" s="33">
        <f t="shared" si="74"/>
        <v>-47.125690345779191</v>
      </c>
      <c r="Q103" s="97">
        <f t="shared" si="78"/>
        <v>1.9383444961171428E-5</v>
      </c>
      <c r="R103" s="34">
        <v>-12</v>
      </c>
      <c r="S103" s="33">
        <f t="shared" si="75"/>
        <v>-48.125690345779191</v>
      </c>
      <c r="T103" s="97">
        <f t="shared" si="64"/>
        <v>1.5396817618882584E-5</v>
      </c>
      <c r="U103" s="34">
        <v>-9</v>
      </c>
      <c r="V103" s="33">
        <f t="shared" si="79"/>
        <v>-45.125690345779191</v>
      </c>
      <c r="W103" s="97">
        <f t="shared" si="76"/>
        <v>3.0720689965405323E-5</v>
      </c>
      <c r="X103" s="34">
        <v>-9</v>
      </c>
      <c r="Y103" s="33">
        <f t="shared" si="77"/>
        <v>-45.125690345779191</v>
      </c>
      <c r="Z103" s="97">
        <f t="shared" si="62"/>
        <v>3.0720689965405323E-5</v>
      </c>
    </row>
    <row r="104" spans="2:26" x14ac:dyDescent="0.2">
      <c r="B104" s="13">
        <v>1000</v>
      </c>
      <c r="C104" s="33">
        <f>'3º Alta Frec'!H98</f>
        <v>38.947009915005331</v>
      </c>
      <c r="D104" s="33">
        <f>'3º Alta Frec'!R98</f>
        <v>38.613825965822613</v>
      </c>
      <c r="E104" s="34">
        <f t="shared" si="60"/>
        <v>2</v>
      </c>
      <c r="F104" s="112">
        <f t="shared" si="66"/>
        <v>38.777223554605101</v>
      </c>
      <c r="G104" s="13">
        <v>55</v>
      </c>
      <c r="H104" s="34">
        <f t="shared" si="71"/>
        <v>43</v>
      </c>
      <c r="I104" s="34">
        <f t="shared" si="72"/>
        <v>42</v>
      </c>
      <c r="J104" s="34">
        <f t="shared" si="73"/>
        <v>41</v>
      </c>
      <c r="K104" s="79">
        <f t="shared" si="67"/>
        <v>0</v>
      </c>
      <c r="L104" s="33">
        <f t="shared" si="68"/>
        <v>0</v>
      </c>
      <c r="M104" s="98">
        <f t="shared" si="69"/>
        <v>0</v>
      </c>
      <c r="N104" s="66">
        <f t="shared" si="70"/>
        <v>0</v>
      </c>
      <c r="O104" s="99">
        <v>-10</v>
      </c>
      <c r="P104" s="33">
        <f t="shared" si="74"/>
        <v>-48.777223554605101</v>
      </c>
      <c r="Q104" s="97">
        <f t="shared" si="78"/>
        <v>1.3251884576635523E-5</v>
      </c>
      <c r="R104" s="34">
        <v>-11</v>
      </c>
      <c r="S104" s="33">
        <f t="shared" si="75"/>
        <v>-49.777223554605101</v>
      </c>
      <c r="T104" s="97">
        <f t="shared" si="64"/>
        <v>1.0526346082528838E-5</v>
      </c>
      <c r="U104" s="34">
        <v>-8</v>
      </c>
      <c r="V104" s="33">
        <f t="shared" si="79"/>
        <v>-46.777223554605101</v>
      </c>
      <c r="W104" s="97">
        <f t="shared" si="76"/>
        <v>2.1002821652790063E-5</v>
      </c>
      <c r="X104" s="34">
        <v>-8</v>
      </c>
      <c r="Y104" s="33">
        <f t="shared" si="77"/>
        <v>-46.777223554605101</v>
      </c>
      <c r="Z104" s="97">
        <f t="shared" si="62"/>
        <v>2.1002821652790063E-5</v>
      </c>
    </row>
    <row r="105" spans="2:26" x14ac:dyDescent="0.2">
      <c r="B105" s="13">
        <v>1250</v>
      </c>
      <c r="C105" s="33">
        <f>'3º Alta Frec'!H99</f>
        <v>41.01243317761638</v>
      </c>
      <c r="D105" s="33">
        <f>'3º Alta Frec'!R99</f>
        <v>41.288349600483578</v>
      </c>
      <c r="E105" s="34">
        <f t="shared" si="60"/>
        <v>2</v>
      </c>
      <c r="F105" s="112">
        <f t="shared" si="66"/>
        <v>41.148200563599858</v>
      </c>
      <c r="G105" s="13">
        <v>56</v>
      </c>
      <c r="H105" s="34">
        <f t="shared" si="71"/>
        <v>44</v>
      </c>
      <c r="I105" s="34">
        <f t="shared" si="72"/>
        <v>43</v>
      </c>
      <c r="J105" s="34">
        <f t="shared" si="73"/>
        <v>42</v>
      </c>
      <c r="K105" s="79">
        <f t="shared" si="67"/>
        <v>0</v>
      </c>
      <c r="L105" s="33">
        <f t="shared" si="68"/>
        <v>0</v>
      </c>
      <c r="M105" s="98">
        <f t="shared" si="69"/>
        <v>0</v>
      </c>
      <c r="N105" s="66">
        <f t="shared" si="70"/>
        <v>0</v>
      </c>
      <c r="O105" s="99">
        <v>-9</v>
      </c>
      <c r="P105" s="33">
        <f t="shared" si="74"/>
        <v>-50.148200563599858</v>
      </c>
      <c r="Q105" s="97">
        <f t="shared" si="78"/>
        <v>9.6645123113973311E-6</v>
      </c>
      <c r="R105" s="34">
        <v>-10</v>
      </c>
      <c r="S105" s="33">
        <f t="shared" si="75"/>
        <v>-51.148200563599858</v>
      </c>
      <c r="T105" s="97">
        <f t="shared" si="64"/>
        <v>7.6767950037833222E-6</v>
      </c>
      <c r="U105" s="34">
        <v>-9</v>
      </c>
      <c r="V105" s="33">
        <f t="shared" si="79"/>
        <v>-50.148200563599858</v>
      </c>
      <c r="W105" s="97">
        <f t="shared" si="76"/>
        <v>9.6645123113973311E-6</v>
      </c>
      <c r="X105" s="34">
        <v>-9</v>
      </c>
      <c r="Y105" s="33">
        <f t="shared" si="77"/>
        <v>-50.148200563599858</v>
      </c>
      <c r="Z105" s="97">
        <f t="shared" si="62"/>
        <v>9.6645123113973311E-6</v>
      </c>
    </row>
    <row r="106" spans="2:26" x14ac:dyDescent="0.2">
      <c r="B106" s="13">
        <v>1600</v>
      </c>
      <c r="C106" s="33">
        <f>'3º Alta Frec'!H100</f>
        <v>41.948956878735963</v>
      </c>
      <c r="D106" s="33">
        <f>'3º Alta Frec'!R100</f>
        <v>42.123055249346642</v>
      </c>
      <c r="E106" s="34">
        <f t="shared" si="60"/>
        <v>2</v>
      </c>
      <c r="F106" s="112">
        <f t="shared" si="66"/>
        <v>42.035133723538969</v>
      </c>
      <c r="G106" s="13">
        <v>56</v>
      </c>
      <c r="H106" s="34">
        <f t="shared" si="71"/>
        <v>44</v>
      </c>
      <c r="I106" s="34">
        <f t="shared" si="72"/>
        <v>43</v>
      </c>
      <c r="J106" s="34">
        <f t="shared" si="73"/>
        <v>42</v>
      </c>
      <c r="K106" s="79">
        <f t="shared" si="67"/>
        <v>0</v>
      </c>
      <c r="L106" s="33">
        <f t="shared" si="68"/>
        <v>0</v>
      </c>
      <c r="M106" s="98">
        <f t="shared" si="69"/>
        <v>0</v>
      </c>
      <c r="N106" s="66">
        <f t="shared" si="70"/>
        <v>3.5133723538969264E-2</v>
      </c>
      <c r="O106" s="99">
        <v>-9</v>
      </c>
      <c r="P106" s="33">
        <f t="shared" si="74"/>
        <v>-51.035133723538969</v>
      </c>
      <c r="Q106" s="97">
        <f t="shared" si="78"/>
        <v>7.8792816999513161E-6</v>
      </c>
      <c r="R106" s="34">
        <v>-10</v>
      </c>
      <c r="S106" s="33">
        <f t="shared" si="75"/>
        <v>-52.035133723538969</v>
      </c>
      <c r="T106" s="97">
        <f t="shared" si="64"/>
        <v>6.2587359236176597E-6</v>
      </c>
      <c r="U106" s="34">
        <v>-10</v>
      </c>
      <c r="V106" s="33">
        <f t="shared" si="79"/>
        <v>-52.035133723538969</v>
      </c>
      <c r="W106" s="97">
        <f t="shared" si="76"/>
        <v>6.2587359236176597E-6</v>
      </c>
      <c r="X106" s="34">
        <v>-10</v>
      </c>
      <c r="Y106" s="33">
        <f t="shared" si="77"/>
        <v>-52.035133723538969</v>
      </c>
      <c r="Z106" s="97">
        <f t="shared" si="62"/>
        <v>6.2587359236176597E-6</v>
      </c>
    </row>
    <row r="107" spans="2:26" x14ac:dyDescent="0.2">
      <c r="B107" s="13">
        <v>2000</v>
      </c>
      <c r="C107" s="33">
        <f>'3º Alta Frec'!H101</f>
        <v>43.909079966454954</v>
      </c>
      <c r="D107" s="33">
        <f>'3º Alta Frec'!R101</f>
        <v>44.281201164595274</v>
      </c>
      <c r="E107" s="34">
        <f t="shared" si="60"/>
        <v>2</v>
      </c>
      <c r="F107" s="112">
        <f t="shared" si="66"/>
        <v>44.091156176694</v>
      </c>
      <c r="G107" s="13">
        <v>56</v>
      </c>
      <c r="H107" s="34">
        <f t="shared" si="71"/>
        <v>44</v>
      </c>
      <c r="I107" s="34">
        <f t="shared" si="72"/>
        <v>43</v>
      </c>
      <c r="J107" s="34">
        <f t="shared" si="73"/>
        <v>42</v>
      </c>
      <c r="K107" s="79">
        <f t="shared" si="67"/>
        <v>0</v>
      </c>
      <c r="L107" s="33">
        <f t="shared" si="68"/>
        <v>9.1156176693999669E-2</v>
      </c>
      <c r="M107" s="98">
        <f t="shared" si="69"/>
        <v>1.0911561766939997</v>
      </c>
      <c r="N107" s="66">
        <f t="shared" si="70"/>
        <v>2.0911561766939997</v>
      </c>
      <c r="O107" s="99">
        <v>-9</v>
      </c>
      <c r="P107" s="33">
        <f t="shared" si="74"/>
        <v>-53.091156176694</v>
      </c>
      <c r="Q107" s="97">
        <f t="shared" si="78"/>
        <v>4.9077720428691649E-6</v>
      </c>
      <c r="R107" s="34">
        <v>-10</v>
      </c>
      <c r="S107" s="33">
        <f t="shared" si="75"/>
        <v>-54.091156176694</v>
      </c>
      <c r="T107" s="97">
        <f t="shared" si="64"/>
        <v>3.8983819032414483E-6</v>
      </c>
      <c r="U107" s="34">
        <v>-11</v>
      </c>
      <c r="V107" s="33">
        <f t="shared" si="79"/>
        <v>-55.091156176694</v>
      </c>
      <c r="W107" s="97">
        <f t="shared" si="76"/>
        <v>3.0965948154828669E-6</v>
      </c>
      <c r="X107" s="34">
        <v>-11</v>
      </c>
      <c r="Y107" s="33">
        <f t="shared" si="77"/>
        <v>-55.091156176694</v>
      </c>
      <c r="Z107" s="97">
        <f t="shared" si="62"/>
        <v>3.0965948154828669E-6</v>
      </c>
    </row>
    <row r="108" spans="2:26" x14ac:dyDescent="0.2">
      <c r="B108" s="13">
        <v>2500</v>
      </c>
      <c r="C108" s="33">
        <f>'3º Alta Frec'!H102</f>
        <v>42.492587516973138</v>
      </c>
      <c r="D108" s="33">
        <f>'3º Alta Frec'!R102</f>
        <v>44.850710754325597</v>
      </c>
      <c r="E108" s="34">
        <f t="shared" si="60"/>
        <v>2</v>
      </c>
      <c r="F108" s="112">
        <f t="shared" si="66"/>
        <v>43.513526351473516</v>
      </c>
      <c r="G108" s="13">
        <v>56</v>
      </c>
      <c r="H108" s="34">
        <f t="shared" si="71"/>
        <v>44</v>
      </c>
      <c r="I108" s="34">
        <f t="shared" si="72"/>
        <v>43</v>
      </c>
      <c r="J108" s="34">
        <f t="shared" si="73"/>
        <v>42</v>
      </c>
      <c r="K108" s="79">
        <f t="shared" si="67"/>
        <v>0</v>
      </c>
      <c r="L108" s="33">
        <f t="shared" si="68"/>
        <v>0</v>
      </c>
      <c r="M108" s="98">
        <f t="shared" si="69"/>
        <v>0.51352635147351577</v>
      </c>
      <c r="N108" s="66">
        <f t="shared" si="70"/>
        <v>1.5135263514735158</v>
      </c>
      <c r="O108" s="99">
        <v>-9</v>
      </c>
      <c r="P108" s="33">
        <f t="shared" si="74"/>
        <v>-52.513526351473516</v>
      </c>
      <c r="Q108" s="97">
        <f t="shared" si="78"/>
        <v>5.6059260544123067E-6</v>
      </c>
      <c r="R108" s="34">
        <v>-10</v>
      </c>
      <c r="S108" s="33">
        <f t="shared" si="75"/>
        <v>-53.513526351473516</v>
      </c>
      <c r="T108" s="97">
        <f t="shared" si="64"/>
        <v>4.4529453467961806E-6</v>
      </c>
      <c r="U108" s="34">
        <v>-13</v>
      </c>
      <c r="V108" s="33">
        <f t="shared" si="79"/>
        <v>-56.513526351473516</v>
      </c>
      <c r="W108" s="97">
        <f t="shared" si="76"/>
        <v>2.2317593598542145E-6</v>
      </c>
      <c r="X108" s="34">
        <v>-13</v>
      </c>
      <c r="Y108" s="33">
        <f t="shared" si="77"/>
        <v>-56.513526351473516</v>
      </c>
      <c r="Z108" s="97">
        <f t="shared" si="62"/>
        <v>2.2317593598542145E-6</v>
      </c>
    </row>
    <row r="109" spans="2:26" x14ac:dyDescent="0.2">
      <c r="B109" s="13">
        <v>3150</v>
      </c>
      <c r="C109" s="33">
        <f>'3º Alta Frec'!H103</f>
        <v>39.030940851723003</v>
      </c>
      <c r="D109" s="33">
        <f>'3º Alta Frec'!R103</f>
        <v>42.90062954588133</v>
      </c>
      <c r="E109" s="34">
        <f t="shared" si="60"/>
        <v>2</v>
      </c>
      <c r="F109" s="112">
        <f t="shared" si="66"/>
        <v>40.548330513330122</v>
      </c>
      <c r="G109" s="13">
        <v>56</v>
      </c>
      <c r="H109" s="34">
        <f t="shared" si="71"/>
        <v>44</v>
      </c>
      <c r="I109" s="34">
        <f t="shared" si="72"/>
        <v>43</v>
      </c>
      <c r="J109" s="34">
        <f t="shared" si="73"/>
        <v>42</v>
      </c>
      <c r="K109" s="79">
        <f t="shared" si="67"/>
        <v>0</v>
      </c>
      <c r="L109" s="33">
        <f t="shared" si="68"/>
        <v>0</v>
      </c>
      <c r="M109" s="98">
        <f t="shared" si="69"/>
        <v>0</v>
      </c>
      <c r="N109" s="66">
        <f t="shared" si="70"/>
        <v>0</v>
      </c>
      <c r="O109" s="99">
        <v>-9</v>
      </c>
      <c r="P109" s="33">
        <f t="shared" si="74"/>
        <v>-49.548330513330122</v>
      </c>
      <c r="Q109" s="97">
        <f t="shared" si="78"/>
        <v>1.1096012790124095E-5</v>
      </c>
      <c r="R109" s="34">
        <v>-10</v>
      </c>
      <c r="S109" s="33">
        <f t="shared" si="75"/>
        <v>-50.548330513330122</v>
      </c>
      <c r="T109" s="97">
        <f t="shared" si="64"/>
        <v>8.8138762520573283E-6</v>
      </c>
      <c r="U109" s="34">
        <v>-15</v>
      </c>
      <c r="V109" s="33">
        <f t="shared" si="79"/>
        <v>-55.548330513330122</v>
      </c>
      <c r="W109" s="97">
        <f t="shared" si="76"/>
        <v>2.7871923971369483E-6</v>
      </c>
      <c r="X109" s="34">
        <v>-15</v>
      </c>
      <c r="Y109" s="33">
        <f t="shared" si="77"/>
        <v>-55.548330513330122</v>
      </c>
      <c r="Z109" s="97">
        <f t="shared" si="62"/>
        <v>2.7871923971369483E-6</v>
      </c>
    </row>
    <row r="110" spans="2:26" x14ac:dyDescent="0.2">
      <c r="B110" s="13">
        <v>4000</v>
      </c>
      <c r="C110" s="33">
        <f>'3º Alta Frec'!H104</f>
        <v>42.997001015700377</v>
      </c>
      <c r="D110" s="33">
        <f>'3º Alta Frec'!R104</f>
        <v>44.34204575425909</v>
      </c>
      <c r="E110" s="34">
        <f t="shared" si="60"/>
        <v>2</v>
      </c>
      <c r="F110" s="112">
        <f t="shared" si="66"/>
        <v>43.617658784832457</v>
      </c>
      <c r="G110" s="13"/>
      <c r="H110" s="18"/>
      <c r="I110" s="18"/>
      <c r="J110" s="18"/>
      <c r="K110" s="13"/>
      <c r="L110" s="18"/>
      <c r="M110" s="95"/>
      <c r="N110" s="96"/>
      <c r="O110" s="99"/>
      <c r="P110" s="18"/>
      <c r="Q110" s="97"/>
      <c r="R110" s="34">
        <v>-10</v>
      </c>
      <c r="S110" s="33">
        <f t="shared" si="75"/>
        <v>-53.617658784832457</v>
      </c>
      <c r="T110" s="97">
        <f t="shared" si="64"/>
        <v>4.3474452514004594E-6</v>
      </c>
      <c r="U110" s="18"/>
      <c r="V110" s="18"/>
      <c r="W110" s="97"/>
      <c r="X110" s="34">
        <v>-16</v>
      </c>
      <c r="Y110" s="33">
        <f t="shared" si="77"/>
        <v>-59.617658784832457</v>
      </c>
      <c r="Z110" s="97">
        <f t="shared" si="62"/>
        <v>1.0920288738723555E-6</v>
      </c>
    </row>
    <row r="111" spans="2:26" x14ac:dyDescent="0.2">
      <c r="B111" s="15">
        <v>5000</v>
      </c>
      <c r="C111" s="23">
        <f>'3º Alta Frec'!H105</f>
        <v>45.914931267031527</v>
      </c>
      <c r="D111" s="23">
        <f>'3º Alta Frec'!R105</f>
        <v>47.13133795856043</v>
      </c>
      <c r="E111" s="24">
        <f t="shared" si="60"/>
        <v>2</v>
      </c>
      <c r="F111" s="113">
        <f t="shared" si="66"/>
        <v>46.480685482662551</v>
      </c>
      <c r="G111" s="15"/>
      <c r="H111" s="16"/>
      <c r="I111" s="16"/>
      <c r="J111" s="16"/>
      <c r="K111" s="13"/>
      <c r="L111" s="18"/>
      <c r="M111" s="95"/>
      <c r="N111" s="96"/>
      <c r="O111" s="13"/>
      <c r="P111" s="18"/>
      <c r="Q111" s="97"/>
      <c r="R111" s="34">
        <v>-10</v>
      </c>
      <c r="S111" s="33">
        <f t="shared" si="75"/>
        <v>-56.480685482662551</v>
      </c>
      <c r="T111" s="97">
        <f t="shared" si="64"/>
        <v>2.2486996470828045E-6</v>
      </c>
      <c r="U111" s="18"/>
      <c r="V111" s="18"/>
      <c r="W111" s="97"/>
      <c r="X111" s="34">
        <v>-18</v>
      </c>
      <c r="Y111" s="33">
        <f t="shared" si="77"/>
        <v>-64.480685482662551</v>
      </c>
      <c r="Z111" s="97">
        <f t="shared" si="62"/>
        <v>3.5639487625512472E-7</v>
      </c>
    </row>
    <row r="112" spans="2:26" x14ac:dyDescent="0.2">
      <c r="K112" s="80">
        <f>SUM(K94:K109)</f>
        <v>0</v>
      </c>
      <c r="L112" s="23">
        <f t="shared" ref="L112:N112" si="80">SUM(L94:L109)</f>
        <v>21.527314093647398</v>
      </c>
      <c r="M112" s="102">
        <f t="shared" si="80"/>
        <v>27.286736352355661</v>
      </c>
      <c r="N112" s="59">
        <f t="shared" si="80"/>
        <v>34.32187007589463</v>
      </c>
      <c r="O112" s="79" t="s">
        <v>132</v>
      </c>
      <c r="P112" s="33">
        <f>52-13</f>
        <v>39</v>
      </c>
      <c r="Q112" s="103">
        <f>-10*LOG10(SUM(Q91:Q111))</f>
        <v>37.58609172949069</v>
      </c>
      <c r="R112" s="34"/>
      <c r="S112" s="33"/>
      <c r="T112" s="103">
        <f>-10*LOG10(SUM(T91:T111))</f>
        <v>38.241855918829266</v>
      </c>
      <c r="U112" s="33"/>
      <c r="V112" s="33"/>
      <c r="W112" s="103">
        <f>-10*LOG10(SUM(W91:W111))</f>
        <v>35.767097966609839</v>
      </c>
      <c r="X112" s="34"/>
      <c r="Y112" s="33"/>
      <c r="Z112" s="103">
        <f>-10*LOG10(SUM(Z91:Z111))</f>
        <v>34.203407420262018</v>
      </c>
    </row>
    <row r="113" spans="2:26" x14ac:dyDescent="0.2">
      <c r="O113" s="15"/>
      <c r="P113" s="16"/>
      <c r="Q113" s="114">
        <f>ROUND(Q112,0)-P112</f>
        <v>-1</v>
      </c>
      <c r="R113" s="16"/>
      <c r="S113" s="16"/>
      <c r="T113" s="114">
        <f>ROUND(T112,0)-P112</f>
        <v>-1</v>
      </c>
      <c r="U113" s="16"/>
      <c r="V113" s="16"/>
      <c r="W113" s="114">
        <f>ROUND(W112,0)-P112</f>
        <v>-3</v>
      </c>
      <c r="X113" s="16"/>
      <c r="Y113" s="16"/>
      <c r="Z113" s="114">
        <f>ROUND(Z112,0)-P112</f>
        <v>-5</v>
      </c>
    </row>
    <row r="114" spans="2:26" x14ac:dyDescent="0.2">
      <c r="E114" s="2" t="s">
        <v>92</v>
      </c>
    </row>
    <row r="118" spans="2:26" x14ac:dyDescent="0.2">
      <c r="F118" s="172" t="s">
        <v>46</v>
      </c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4"/>
    </row>
    <row r="119" spans="2:26" x14ac:dyDescent="0.2">
      <c r="B119" s="61" t="s">
        <v>46</v>
      </c>
      <c r="C119" s="62"/>
      <c r="D119" s="62"/>
      <c r="E119" s="62"/>
      <c r="F119" s="184"/>
      <c r="G119" s="162" t="s">
        <v>96</v>
      </c>
      <c r="H119" s="163"/>
      <c r="I119" s="163"/>
      <c r="J119" s="163"/>
      <c r="K119" s="186" t="s">
        <v>95</v>
      </c>
      <c r="L119" s="187"/>
      <c r="M119" s="187"/>
      <c r="N119" s="188"/>
      <c r="O119" s="189" t="s">
        <v>99</v>
      </c>
      <c r="P119" s="190"/>
      <c r="Q119" s="191"/>
      <c r="R119" s="192" t="s">
        <v>97</v>
      </c>
      <c r="S119" s="192"/>
      <c r="T119" s="193"/>
      <c r="U119" s="190" t="s">
        <v>100</v>
      </c>
      <c r="V119" s="190"/>
      <c r="W119" s="191"/>
      <c r="X119" s="192" t="s">
        <v>98</v>
      </c>
      <c r="Y119" s="192"/>
      <c r="Z119" s="193"/>
    </row>
    <row r="120" spans="2:26" ht="33" customHeight="1" x14ac:dyDescent="0.2">
      <c r="B120" s="28"/>
      <c r="C120" s="29"/>
      <c r="D120" s="29"/>
      <c r="E120" s="29"/>
      <c r="F120" s="185"/>
      <c r="G120" s="15" t="s">
        <v>94</v>
      </c>
      <c r="H120" s="16" t="s">
        <v>89</v>
      </c>
      <c r="I120" s="107" t="s">
        <v>90</v>
      </c>
      <c r="J120" s="108" t="s">
        <v>105</v>
      </c>
      <c r="K120" s="15" t="s">
        <v>94</v>
      </c>
      <c r="L120" s="16" t="s">
        <v>89</v>
      </c>
      <c r="M120" s="16" t="s">
        <v>90</v>
      </c>
      <c r="N120" s="108" t="s">
        <v>105</v>
      </c>
      <c r="O120" s="142" t="s">
        <v>126</v>
      </c>
      <c r="P120" s="143"/>
      <c r="Q120" s="145"/>
      <c r="R120" s="144" t="s">
        <v>126</v>
      </c>
      <c r="S120" s="144"/>
      <c r="T120" s="145"/>
      <c r="U120" s="144" t="s">
        <v>126</v>
      </c>
      <c r="V120" s="143"/>
      <c r="W120" s="145"/>
      <c r="X120" s="144" t="s">
        <v>126</v>
      </c>
      <c r="Y120" s="144"/>
      <c r="Z120" s="145"/>
    </row>
    <row r="121" spans="2:26" x14ac:dyDescent="0.2">
      <c r="B121" s="13">
        <v>50</v>
      </c>
      <c r="C121" s="33">
        <f>'3º Alta Frec'!H112</f>
        <v>38.696253928680505</v>
      </c>
      <c r="D121" s="33">
        <f>'3º Alta Frec'!R112</f>
        <v>39.715335127254633</v>
      </c>
      <c r="E121" s="34">
        <f t="shared" ref="E121:E141" si="81">COUNT(C121:D121)</f>
        <v>2</v>
      </c>
      <c r="F121" s="111">
        <v>33.379476812225946</v>
      </c>
      <c r="G121" s="77"/>
      <c r="H121" s="78"/>
      <c r="I121" s="78"/>
      <c r="J121" s="78"/>
      <c r="K121" s="77"/>
      <c r="L121" s="78"/>
      <c r="M121" s="109"/>
      <c r="N121" s="110"/>
      <c r="O121" s="13"/>
      <c r="P121" s="18"/>
      <c r="Q121" s="97"/>
      <c r="R121" s="34">
        <v>-41</v>
      </c>
      <c r="S121" s="33">
        <f>R121-F121</f>
        <v>-74.379476812225946</v>
      </c>
      <c r="T121" s="97">
        <f>10^(S121/10)</f>
        <v>3.6479789091033922E-8</v>
      </c>
      <c r="U121" s="18"/>
      <c r="V121" s="18"/>
      <c r="W121" s="97"/>
      <c r="X121" s="34">
        <v>-25</v>
      </c>
      <c r="Y121" s="33">
        <f t="shared" ref="Y121" si="82">X121-F121</f>
        <v>-58.379476812225946</v>
      </c>
      <c r="Z121" s="97">
        <f t="shared" ref="Z121:Z141" si="83">10^(Y121/10)</f>
        <v>1.4522865617419834E-6</v>
      </c>
    </row>
    <row r="122" spans="2:26" x14ac:dyDescent="0.2">
      <c r="B122" s="13">
        <v>63</v>
      </c>
      <c r="C122" s="33">
        <f>'3º Alta Frec'!H113</f>
        <v>53.017053183500913</v>
      </c>
      <c r="D122" s="33">
        <f>'3º Alta Frec'!R113</f>
        <v>44.335108309972711</v>
      </c>
      <c r="E122" s="34">
        <f t="shared" si="81"/>
        <v>2</v>
      </c>
      <c r="F122" s="112">
        <v>40.475218235941284</v>
      </c>
      <c r="G122" s="13"/>
      <c r="H122" s="18"/>
      <c r="I122" s="18"/>
      <c r="J122" s="18"/>
      <c r="K122" s="13"/>
      <c r="L122" s="18"/>
      <c r="M122" s="95"/>
      <c r="N122" s="96"/>
      <c r="O122" s="13"/>
      <c r="P122" s="18"/>
      <c r="Q122" s="97"/>
      <c r="R122" s="34">
        <v>-37</v>
      </c>
      <c r="S122" s="33">
        <f t="shared" ref="S122:S123" si="84">R122-F122</f>
        <v>-77.475218235941284</v>
      </c>
      <c r="T122" s="97">
        <f t="shared" ref="T122:T141" si="85">10^(S122/10)</f>
        <v>1.7884556557323392E-8</v>
      </c>
      <c r="U122" s="18"/>
      <c r="V122" s="18"/>
      <c r="W122" s="97"/>
      <c r="X122" s="34">
        <v>-23</v>
      </c>
      <c r="Y122" s="33">
        <f>X122-F122</f>
        <v>-63.475218235941284</v>
      </c>
      <c r="Z122" s="97">
        <f t="shared" si="83"/>
        <v>4.4923974949906356E-7</v>
      </c>
    </row>
    <row r="123" spans="2:26" x14ac:dyDescent="0.2">
      <c r="B123" s="13">
        <v>80</v>
      </c>
      <c r="C123" s="33">
        <f>'3º Alta Frec'!H114</f>
        <v>44.750539325409626</v>
      </c>
      <c r="D123" s="33">
        <f>'3º Alta Frec'!R114</f>
        <v>42.118420391767586</v>
      </c>
      <c r="E123" s="34">
        <f t="shared" si="81"/>
        <v>2</v>
      </c>
      <c r="F123" s="112">
        <v>40.731795981633823</v>
      </c>
      <c r="G123" s="13"/>
      <c r="H123" s="18"/>
      <c r="I123" s="18"/>
      <c r="J123" s="18"/>
      <c r="K123" s="13"/>
      <c r="L123" s="18"/>
      <c r="M123" s="95"/>
      <c r="N123" s="96"/>
      <c r="O123" s="13"/>
      <c r="P123" s="18"/>
      <c r="Q123" s="97"/>
      <c r="R123" s="34">
        <v>-34</v>
      </c>
      <c r="S123" s="33">
        <f t="shared" si="84"/>
        <v>-74.731795981633823</v>
      </c>
      <c r="T123" s="97">
        <f t="shared" si="85"/>
        <v>3.3637243713336956E-8</v>
      </c>
      <c r="U123" s="18"/>
      <c r="V123" s="18"/>
      <c r="W123" s="97"/>
      <c r="X123" s="34">
        <v>-21</v>
      </c>
      <c r="Y123" s="33">
        <f t="shared" ref="Y123" si="86">X123-F123</f>
        <v>-61.731795981633823</v>
      </c>
      <c r="Z123" s="97">
        <f t="shared" si="83"/>
        <v>6.7115124760645092E-7</v>
      </c>
    </row>
    <row r="124" spans="2:26" x14ac:dyDescent="0.2">
      <c r="B124" s="13">
        <v>100</v>
      </c>
      <c r="C124" s="33">
        <f>'3º Alta Frec'!H115</f>
        <v>47.771524719960468</v>
      </c>
      <c r="D124" s="33">
        <f>'3º Alta Frec'!R115</f>
        <v>34.966117796077967</v>
      </c>
      <c r="E124" s="34">
        <f t="shared" si="81"/>
        <v>2</v>
      </c>
      <c r="F124" s="112">
        <f t="shared" ref="F124:F141" si="87">-10*LOG10((10^(-C124/10)+10^(-D124/10))/E124)</f>
        <v>37.754545606961109</v>
      </c>
      <c r="G124" s="13">
        <v>33</v>
      </c>
      <c r="H124" s="18">
        <f>$G124+7</f>
        <v>40</v>
      </c>
      <c r="I124" s="18">
        <f>$G124+8</f>
        <v>41</v>
      </c>
      <c r="J124" s="18">
        <f>$G124+9</f>
        <v>42</v>
      </c>
      <c r="K124" s="79">
        <f t="shared" ref="K124:K139" si="88">IF((F124-G124)&gt;0,F124-G124,0)</f>
        <v>4.7545456069611092</v>
      </c>
      <c r="L124" s="33">
        <f t="shared" ref="L124:L139" si="89">IF((F124-H124)&gt;0,F124-H124,0)</f>
        <v>0</v>
      </c>
      <c r="M124" s="98">
        <f t="shared" ref="M124:M139" si="90">IF((F124-I124)&gt;0,F124-I124,0)</f>
        <v>0</v>
      </c>
      <c r="N124" s="66">
        <f t="shared" ref="N124:N139" si="91">IF((F124-J124)&gt;0,F124-J124,0)</f>
        <v>0</v>
      </c>
      <c r="O124" s="99">
        <v>-29</v>
      </c>
      <c r="P124" s="33">
        <f>O124-F124</f>
        <v>-66.754545606961102</v>
      </c>
      <c r="Q124" s="97">
        <f>10^(P124/10)</f>
        <v>2.1112780827685044E-7</v>
      </c>
      <c r="R124" s="34">
        <v>-30</v>
      </c>
      <c r="S124" s="33">
        <f>R124-F124</f>
        <v>-67.754545606961102</v>
      </c>
      <c r="T124" s="97">
        <f>10^(S124/10)</f>
        <v>1.6770477924975732E-7</v>
      </c>
      <c r="U124" s="34">
        <v>-20</v>
      </c>
      <c r="V124" s="33">
        <f>U124-F124</f>
        <v>-57.754545606961109</v>
      </c>
      <c r="W124" s="97">
        <f>10^(V124/10)</f>
        <v>1.6770477924975691E-6</v>
      </c>
      <c r="X124" s="34">
        <v>-20</v>
      </c>
      <c r="Y124" s="33">
        <f>X124-F124</f>
        <v>-57.754545606961109</v>
      </c>
      <c r="Z124" s="97">
        <f>10^(Y124/10)</f>
        <v>1.6770477924975691E-6</v>
      </c>
    </row>
    <row r="125" spans="2:26" x14ac:dyDescent="0.2">
      <c r="B125" s="13">
        <v>125</v>
      </c>
      <c r="C125" s="33">
        <f>'3º Alta Frec'!H116</f>
        <v>44.877730425631036</v>
      </c>
      <c r="D125" s="33">
        <f>'3º Alta Frec'!R116</f>
        <v>39.098731876965957</v>
      </c>
      <c r="E125" s="34">
        <f t="shared" si="81"/>
        <v>2</v>
      </c>
      <c r="F125" s="112">
        <f t="shared" si="87"/>
        <v>41.090524220378029</v>
      </c>
      <c r="G125" s="13">
        <v>36</v>
      </c>
      <c r="H125" s="18">
        <f t="shared" ref="H125:H139" si="92">$G125+7</f>
        <v>43</v>
      </c>
      <c r="I125" s="18">
        <f t="shared" ref="I125:I139" si="93">$G125+8</f>
        <v>44</v>
      </c>
      <c r="J125" s="18">
        <f t="shared" ref="J125:J139" si="94">$G125+9</f>
        <v>45</v>
      </c>
      <c r="K125" s="79">
        <f t="shared" si="88"/>
        <v>5.090524220378029</v>
      </c>
      <c r="L125" s="33">
        <f t="shared" si="89"/>
        <v>0</v>
      </c>
      <c r="M125" s="98">
        <f t="shared" si="90"/>
        <v>0</v>
      </c>
      <c r="N125" s="66">
        <f t="shared" si="91"/>
        <v>0</v>
      </c>
      <c r="O125" s="99">
        <v>-26</v>
      </c>
      <c r="P125" s="33">
        <f t="shared" ref="P125:P139" si="95">O125-F125</f>
        <v>-67.090524220378029</v>
      </c>
      <c r="Q125" s="97">
        <f>10^(P125/10)</f>
        <v>1.9541035691175023E-7</v>
      </c>
      <c r="R125" s="34">
        <v>-27</v>
      </c>
      <c r="S125" s="33">
        <f t="shared" ref="S125:S141" si="96">R125-F125</f>
        <v>-68.090524220378029</v>
      </c>
      <c r="T125" s="97">
        <f t="shared" si="85"/>
        <v>1.5521996385255225E-7</v>
      </c>
      <c r="U125" s="34">
        <v>-20</v>
      </c>
      <c r="V125" s="33">
        <f>U125-F125</f>
        <v>-61.090524220378029</v>
      </c>
      <c r="W125" s="97">
        <f t="shared" ref="W125:W139" si="97">10^(V125/10)</f>
        <v>7.7794264286985878E-7</v>
      </c>
      <c r="X125" s="34">
        <v>-20</v>
      </c>
      <c r="Y125" s="33">
        <f t="shared" ref="Y125:Y141" si="98">X125-F125</f>
        <v>-61.090524220378029</v>
      </c>
      <c r="Z125" s="97">
        <f t="shared" si="83"/>
        <v>7.7794264286985878E-7</v>
      </c>
    </row>
    <row r="126" spans="2:26" x14ac:dyDescent="0.2">
      <c r="B126" s="13">
        <v>160</v>
      </c>
      <c r="C126" s="33">
        <f>'3º Alta Frec'!H117</f>
        <v>48.709061316775966</v>
      </c>
      <c r="D126" s="33">
        <f>'3º Alta Frec'!R117</f>
        <v>48.57135007750847</v>
      </c>
      <c r="E126" s="34">
        <f t="shared" si="81"/>
        <v>2</v>
      </c>
      <c r="F126" s="112">
        <f t="shared" si="87"/>
        <v>48.639659881118845</v>
      </c>
      <c r="G126" s="13">
        <v>39</v>
      </c>
      <c r="H126" s="18">
        <f t="shared" si="92"/>
        <v>46</v>
      </c>
      <c r="I126" s="18">
        <f t="shared" si="93"/>
        <v>47</v>
      </c>
      <c r="J126" s="18">
        <f t="shared" si="94"/>
        <v>48</v>
      </c>
      <c r="K126" s="79">
        <f t="shared" si="88"/>
        <v>9.6396598811188454</v>
      </c>
      <c r="L126" s="33">
        <f t="shared" si="89"/>
        <v>2.6396598811188454</v>
      </c>
      <c r="M126" s="98">
        <f t="shared" si="90"/>
        <v>1.6396598811188454</v>
      </c>
      <c r="N126" s="66">
        <f t="shared" si="91"/>
        <v>0.63965988111884542</v>
      </c>
      <c r="O126" s="99">
        <v>-23</v>
      </c>
      <c r="P126" s="33">
        <f t="shared" si="95"/>
        <v>-71.639659881118845</v>
      </c>
      <c r="Q126" s="97">
        <f t="shared" ref="Q126:Q139" si="99">10^(P126/10)</f>
        <v>6.8554191274803929E-8</v>
      </c>
      <c r="R126" s="34">
        <v>-24</v>
      </c>
      <c r="S126" s="33">
        <f t="shared" si="96"/>
        <v>-72.639659881118845</v>
      </c>
      <c r="T126" s="97">
        <f t="shared" si="85"/>
        <v>5.4454529738265803E-8</v>
      </c>
      <c r="U126" s="34">
        <v>-18</v>
      </c>
      <c r="V126" s="33">
        <f t="shared" ref="V126:V139" si="100">U126-F126</f>
        <v>-66.639659881118845</v>
      </c>
      <c r="W126" s="97">
        <f t="shared" si="97"/>
        <v>2.1678738757922225E-7</v>
      </c>
      <c r="X126" s="34">
        <v>-18</v>
      </c>
      <c r="Y126" s="33">
        <f t="shared" si="98"/>
        <v>-66.639659881118845</v>
      </c>
      <c r="Z126" s="97">
        <f t="shared" si="83"/>
        <v>2.1678738757922225E-7</v>
      </c>
    </row>
    <row r="127" spans="2:26" x14ac:dyDescent="0.2">
      <c r="B127" s="13">
        <v>200</v>
      </c>
      <c r="C127" s="33">
        <f>'3º Alta Frec'!H118</f>
        <v>54.755442794669591</v>
      </c>
      <c r="D127" s="33">
        <f>'3º Alta Frec'!R118</f>
        <v>50.139464995074555</v>
      </c>
      <c r="E127" s="34">
        <f t="shared" si="81"/>
        <v>2</v>
      </c>
      <c r="F127" s="112">
        <f t="shared" si="87"/>
        <v>51.861045613517931</v>
      </c>
      <c r="G127" s="13">
        <v>42</v>
      </c>
      <c r="H127" s="18">
        <f t="shared" si="92"/>
        <v>49</v>
      </c>
      <c r="I127" s="18">
        <f t="shared" si="93"/>
        <v>50</v>
      </c>
      <c r="J127" s="18">
        <f t="shared" si="94"/>
        <v>51</v>
      </c>
      <c r="K127" s="79">
        <f t="shared" si="88"/>
        <v>9.8610456135179305</v>
      </c>
      <c r="L127" s="33">
        <f t="shared" si="89"/>
        <v>2.8610456135179305</v>
      </c>
      <c r="M127" s="98">
        <f t="shared" si="90"/>
        <v>1.8610456135179305</v>
      </c>
      <c r="N127" s="66">
        <f t="shared" si="91"/>
        <v>0.86104561351793052</v>
      </c>
      <c r="O127" s="99">
        <v>-21</v>
      </c>
      <c r="P127" s="33">
        <f t="shared" si="95"/>
        <v>-72.861045613517931</v>
      </c>
      <c r="Q127" s="97">
        <f t="shared" si="99"/>
        <v>5.1748222720052054E-8</v>
      </c>
      <c r="R127" s="34">
        <v>-22</v>
      </c>
      <c r="S127" s="33">
        <f t="shared" si="96"/>
        <v>-73.861045613517931</v>
      </c>
      <c r="T127" s="97">
        <f t="shared" si="85"/>
        <v>4.1105074403337939E-8</v>
      </c>
      <c r="U127" s="34">
        <v>-16</v>
      </c>
      <c r="V127" s="33">
        <f t="shared" si="100"/>
        <v>-67.861045613517931</v>
      </c>
      <c r="W127" s="97">
        <f t="shared" si="97"/>
        <v>1.6364224866103817E-7</v>
      </c>
      <c r="X127" s="34">
        <v>-16</v>
      </c>
      <c r="Y127" s="33">
        <f t="shared" si="98"/>
        <v>-67.861045613517931</v>
      </c>
      <c r="Z127" s="97">
        <f t="shared" si="83"/>
        <v>1.6364224866103817E-7</v>
      </c>
    </row>
    <row r="128" spans="2:26" x14ac:dyDescent="0.2">
      <c r="B128" s="13">
        <v>250</v>
      </c>
      <c r="C128" s="33">
        <f>'3º Alta Frec'!H119</f>
        <v>56.702815270183009</v>
      </c>
      <c r="D128" s="33">
        <f>'3º Alta Frec'!R119</f>
        <v>54.839260604442352</v>
      </c>
      <c r="E128" s="34">
        <f t="shared" si="81"/>
        <v>2</v>
      </c>
      <c r="F128" s="112">
        <f t="shared" si="87"/>
        <v>55.671839255858927</v>
      </c>
      <c r="G128" s="100">
        <v>45</v>
      </c>
      <c r="H128" s="18">
        <f t="shared" si="92"/>
        <v>52</v>
      </c>
      <c r="I128" s="18">
        <f t="shared" si="93"/>
        <v>53</v>
      </c>
      <c r="J128" s="18">
        <f t="shared" si="94"/>
        <v>54</v>
      </c>
      <c r="K128" s="79">
        <f t="shared" si="88"/>
        <v>10.671839255858927</v>
      </c>
      <c r="L128" s="33">
        <f t="shared" si="89"/>
        <v>3.6718392558589272</v>
      </c>
      <c r="M128" s="98">
        <f t="shared" si="90"/>
        <v>2.6718392558589272</v>
      </c>
      <c r="N128" s="66">
        <f t="shared" si="91"/>
        <v>1.6718392558589272</v>
      </c>
      <c r="O128" s="99">
        <v>-19</v>
      </c>
      <c r="P128" s="33">
        <f t="shared" si="95"/>
        <v>-74.671839255858927</v>
      </c>
      <c r="Q128" s="97">
        <f t="shared" si="99"/>
        <v>3.4104844554569302E-8</v>
      </c>
      <c r="R128" s="34">
        <v>-20</v>
      </c>
      <c r="S128" s="33">
        <f t="shared" si="96"/>
        <v>-75.671839255858927</v>
      </c>
      <c r="T128" s="97">
        <f t="shared" si="85"/>
        <v>2.7090440970577084E-8</v>
      </c>
      <c r="U128" s="34">
        <v>-15</v>
      </c>
      <c r="V128" s="33">
        <f t="shared" si="100"/>
        <v>-70.671839255858927</v>
      </c>
      <c r="W128" s="97">
        <f t="shared" si="97"/>
        <v>8.5667496285366295E-8</v>
      </c>
      <c r="X128" s="34">
        <v>-15</v>
      </c>
      <c r="Y128" s="33">
        <f t="shared" si="98"/>
        <v>-70.671839255858927</v>
      </c>
      <c r="Z128" s="97">
        <f t="shared" si="83"/>
        <v>8.5667496285366295E-8</v>
      </c>
    </row>
    <row r="129" spans="2:26" x14ac:dyDescent="0.2">
      <c r="B129" s="13">
        <v>315</v>
      </c>
      <c r="C129" s="33">
        <f>'3º Alta Frec'!H120</f>
        <v>56.044516940885295</v>
      </c>
      <c r="D129" s="33">
        <f>'3º Alta Frec'!R120</f>
        <v>52.912782339938303</v>
      </c>
      <c r="E129" s="34">
        <f t="shared" si="81"/>
        <v>2</v>
      </c>
      <c r="F129" s="112">
        <f t="shared" si="87"/>
        <v>54.202271825718924</v>
      </c>
      <c r="G129" s="100">
        <v>48</v>
      </c>
      <c r="H129" s="18">
        <f t="shared" si="92"/>
        <v>55</v>
      </c>
      <c r="I129" s="18">
        <f t="shared" si="93"/>
        <v>56</v>
      </c>
      <c r="J129" s="18">
        <f t="shared" si="94"/>
        <v>57</v>
      </c>
      <c r="K129" s="79">
        <f t="shared" si="88"/>
        <v>6.202271825718924</v>
      </c>
      <c r="L129" s="33">
        <f t="shared" si="89"/>
        <v>0</v>
      </c>
      <c r="M129" s="98">
        <f t="shared" si="90"/>
        <v>0</v>
      </c>
      <c r="N129" s="66">
        <f t="shared" si="91"/>
        <v>0</v>
      </c>
      <c r="O129" s="99">
        <v>-17</v>
      </c>
      <c r="P129" s="33">
        <f t="shared" si="95"/>
        <v>-71.202271825718924</v>
      </c>
      <c r="Q129" s="97">
        <f t="shared" si="99"/>
        <v>7.5818086140624825E-8</v>
      </c>
      <c r="R129" s="34">
        <v>-18</v>
      </c>
      <c r="S129" s="33">
        <f t="shared" si="96"/>
        <v>-72.202271825718924</v>
      </c>
      <c r="T129" s="97">
        <f t="shared" si="85"/>
        <v>6.0224446524256088E-8</v>
      </c>
      <c r="U129" s="34">
        <v>-14</v>
      </c>
      <c r="V129" s="33">
        <f t="shared" si="100"/>
        <v>-68.202271825718924</v>
      </c>
      <c r="W129" s="97">
        <f t="shared" si="97"/>
        <v>1.5127697006945314E-7</v>
      </c>
      <c r="X129" s="34">
        <v>-14</v>
      </c>
      <c r="Y129" s="33">
        <f t="shared" si="98"/>
        <v>-68.202271825718924</v>
      </c>
      <c r="Z129" s="97">
        <f t="shared" si="83"/>
        <v>1.5127697006945314E-7</v>
      </c>
    </row>
    <row r="130" spans="2:26" x14ac:dyDescent="0.2">
      <c r="B130" s="13">
        <v>400</v>
      </c>
      <c r="C130" s="33">
        <f>'3º Alta Frec'!H121</f>
        <v>57.76752109640011</v>
      </c>
      <c r="D130" s="33">
        <f>'3º Alta Frec'!R121</f>
        <v>56.181217048181047</v>
      </c>
      <c r="E130" s="34">
        <f t="shared" si="81"/>
        <v>2</v>
      </c>
      <c r="F130" s="112">
        <f t="shared" si="87"/>
        <v>56.902341465498083</v>
      </c>
      <c r="G130" s="100">
        <v>51</v>
      </c>
      <c r="H130" s="18">
        <f t="shared" si="92"/>
        <v>58</v>
      </c>
      <c r="I130" s="18">
        <f t="shared" si="93"/>
        <v>59</v>
      </c>
      <c r="J130" s="18">
        <f t="shared" si="94"/>
        <v>60</v>
      </c>
      <c r="K130" s="79">
        <f t="shared" si="88"/>
        <v>5.9023414654980826</v>
      </c>
      <c r="L130" s="33">
        <f t="shared" si="89"/>
        <v>0</v>
      </c>
      <c r="M130" s="98">
        <f t="shared" si="90"/>
        <v>0</v>
      </c>
      <c r="N130" s="66">
        <f t="shared" si="91"/>
        <v>0</v>
      </c>
      <c r="O130" s="99">
        <v>-15</v>
      </c>
      <c r="P130" s="33">
        <f t="shared" si="95"/>
        <v>-71.902341465498083</v>
      </c>
      <c r="Q130" s="97">
        <f t="shared" si="99"/>
        <v>6.453062233137336E-8</v>
      </c>
      <c r="R130" s="34">
        <v>-16</v>
      </c>
      <c r="S130" s="33">
        <f t="shared" si="96"/>
        <v>-72.902341465498083</v>
      </c>
      <c r="T130" s="97">
        <f t="shared" si="85"/>
        <v>5.1258495322138962E-8</v>
      </c>
      <c r="U130" s="34">
        <v>-13</v>
      </c>
      <c r="V130" s="33">
        <f t="shared" si="100"/>
        <v>-69.902341465498083</v>
      </c>
      <c r="W130" s="97">
        <f t="shared" si="97"/>
        <v>1.0227414403827253E-7</v>
      </c>
      <c r="X130" s="34">
        <v>-13</v>
      </c>
      <c r="Y130" s="33">
        <f t="shared" si="98"/>
        <v>-69.902341465498083</v>
      </c>
      <c r="Z130" s="97">
        <f t="shared" si="83"/>
        <v>1.0227414403827253E-7</v>
      </c>
    </row>
    <row r="131" spans="2:26" x14ac:dyDescent="0.2">
      <c r="B131" s="13">
        <v>500</v>
      </c>
      <c r="C131" s="33">
        <f>'3º Alta Frec'!H122</f>
        <v>58.649013090526608</v>
      </c>
      <c r="D131" s="33">
        <f>'3º Alta Frec'!R122</f>
        <v>57.791180114417976</v>
      </c>
      <c r="E131" s="34">
        <f t="shared" si="81"/>
        <v>2</v>
      </c>
      <c r="F131" s="112">
        <f t="shared" si="87"/>
        <v>58.19895069017312</v>
      </c>
      <c r="G131" s="101">
        <v>52</v>
      </c>
      <c r="H131" s="18">
        <f t="shared" si="92"/>
        <v>59</v>
      </c>
      <c r="I131" s="95">
        <f t="shared" si="93"/>
        <v>60</v>
      </c>
      <c r="J131" s="18">
        <f t="shared" si="94"/>
        <v>61</v>
      </c>
      <c r="K131" s="79">
        <f t="shared" si="88"/>
        <v>6.1989506901731204</v>
      </c>
      <c r="L131" s="33">
        <f t="shared" si="89"/>
        <v>0</v>
      </c>
      <c r="M131" s="98">
        <f t="shared" si="90"/>
        <v>0</v>
      </c>
      <c r="N131" s="66">
        <f t="shared" si="91"/>
        <v>0</v>
      </c>
      <c r="O131" s="99">
        <v>-13</v>
      </c>
      <c r="P131" s="33">
        <f t="shared" si="95"/>
        <v>-71.19895069017312</v>
      </c>
      <c r="Q131" s="97">
        <f t="shared" si="99"/>
        <v>7.5876087900944565E-8</v>
      </c>
      <c r="R131" s="34">
        <v>-14</v>
      </c>
      <c r="S131" s="33">
        <f t="shared" si="96"/>
        <v>-72.19895069017312</v>
      </c>
      <c r="T131" s="97">
        <f t="shared" si="85"/>
        <v>6.0270518960141766E-8</v>
      </c>
      <c r="U131" s="34">
        <v>-12</v>
      </c>
      <c r="V131" s="33">
        <f t="shared" si="100"/>
        <v>-70.19895069017312</v>
      </c>
      <c r="W131" s="97">
        <f t="shared" si="97"/>
        <v>9.5522335206026971E-8</v>
      </c>
      <c r="X131" s="34">
        <v>-12</v>
      </c>
      <c r="Y131" s="33">
        <f t="shared" si="98"/>
        <v>-70.19895069017312</v>
      </c>
      <c r="Z131" s="97">
        <f t="shared" si="83"/>
        <v>9.5522335206026971E-8</v>
      </c>
    </row>
    <row r="132" spans="2:26" x14ac:dyDescent="0.2">
      <c r="B132" s="13">
        <v>630</v>
      </c>
      <c r="C132" s="33">
        <f>'3º Alta Frec'!H123</f>
        <v>62.820692577959612</v>
      </c>
      <c r="D132" s="33">
        <f>'3º Alta Frec'!R123</f>
        <v>61.077679312768851</v>
      </c>
      <c r="E132" s="34">
        <f t="shared" si="81"/>
        <v>2</v>
      </c>
      <c r="F132" s="112">
        <f t="shared" si="87"/>
        <v>61.862323188083678</v>
      </c>
      <c r="G132" s="13">
        <v>53</v>
      </c>
      <c r="H132" s="18">
        <f t="shared" si="92"/>
        <v>60</v>
      </c>
      <c r="I132" s="18">
        <f t="shared" si="93"/>
        <v>61</v>
      </c>
      <c r="J132" s="18">
        <f t="shared" si="94"/>
        <v>62</v>
      </c>
      <c r="K132" s="79">
        <f t="shared" si="88"/>
        <v>8.8623231880836784</v>
      </c>
      <c r="L132" s="33">
        <f t="shared" si="89"/>
        <v>1.8623231880836784</v>
      </c>
      <c r="M132" s="98">
        <f t="shared" si="90"/>
        <v>0.86232318808367836</v>
      </c>
      <c r="N132" s="66">
        <f t="shared" si="91"/>
        <v>0</v>
      </c>
      <c r="O132" s="99">
        <v>-12</v>
      </c>
      <c r="P132" s="33">
        <f t="shared" si="95"/>
        <v>-73.862323188083678</v>
      </c>
      <c r="Q132" s="97">
        <f t="shared" si="99"/>
        <v>4.1092984202719744E-8</v>
      </c>
      <c r="R132" s="34">
        <v>-13</v>
      </c>
      <c r="S132" s="33">
        <f t="shared" si="96"/>
        <v>-74.862323188083678</v>
      </c>
      <c r="T132" s="97">
        <f t="shared" si="85"/>
        <v>3.2641317601299186E-8</v>
      </c>
      <c r="U132" s="34">
        <v>-11</v>
      </c>
      <c r="V132" s="33">
        <f t="shared" si="100"/>
        <v>-72.862323188083678</v>
      </c>
      <c r="W132" s="97">
        <f t="shared" si="97"/>
        <v>5.1733002059260104E-8</v>
      </c>
      <c r="X132" s="34">
        <v>-11</v>
      </c>
      <c r="Y132" s="33">
        <f t="shared" si="98"/>
        <v>-72.862323188083678</v>
      </c>
      <c r="Z132" s="97">
        <f t="shared" si="83"/>
        <v>5.1733002059260104E-8</v>
      </c>
    </row>
    <row r="133" spans="2:26" x14ac:dyDescent="0.2">
      <c r="B133" s="13">
        <v>800</v>
      </c>
      <c r="C133" s="33">
        <f>'3º Alta Frec'!H124</f>
        <v>66.75562981057557</v>
      </c>
      <c r="D133" s="33">
        <f>'3º Alta Frec'!R124</f>
        <v>66.275357475001542</v>
      </c>
      <c r="E133" s="34">
        <f t="shared" si="81"/>
        <v>2</v>
      </c>
      <c r="F133" s="112">
        <f t="shared" si="87"/>
        <v>66.508858050874736</v>
      </c>
      <c r="G133" s="13">
        <v>54</v>
      </c>
      <c r="H133" s="18">
        <f t="shared" si="92"/>
        <v>61</v>
      </c>
      <c r="I133" s="18">
        <f t="shared" si="93"/>
        <v>62</v>
      </c>
      <c r="J133" s="18">
        <f t="shared" si="94"/>
        <v>63</v>
      </c>
      <c r="K133" s="79">
        <f t="shared" si="88"/>
        <v>12.508858050874736</v>
      </c>
      <c r="L133" s="33">
        <f t="shared" si="89"/>
        <v>5.5088580508747356</v>
      </c>
      <c r="M133" s="98">
        <f t="shared" si="90"/>
        <v>4.5088580508747356</v>
      </c>
      <c r="N133" s="66">
        <f t="shared" si="91"/>
        <v>3.5088580508747356</v>
      </c>
      <c r="O133" s="99">
        <v>-11</v>
      </c>
      <c r="P133" s="33">
        <f t="shared" si="95"/>
        <v>-77.508858050874736</v>
      </c>
      <c r="Q133" s="97">
        <f t="shared" si="99"/>
        <v>1.7746560538262246E-8</v>
      </c>
      <c r="R133" s="34">
        <v>-12</v>
      </c>
      <c r="S133" s="33">
        <f t="shared" si="96"/>
        <v>-78.508858050874736</v>
      </c>
      <c r="T133" s="97">
        <f t="shared" si="85"/>
        <v>1.4096594104785409E-8</v>
      </c>
      <c r="U133" s="34">
        <v>-9</v>
      </c>
      <c r="V133" s="33">
        <f t="shared" si="100"/>
        <v>-75.508858050874736</v>
      </c>
      <c r="W133" s="97">
        <f t="shared" si="97"/>
        <v>2.8126402986690815E-8</v>
      </c>
      <c r="X133" s="34">
        <v>-9</v>
      </c>
      <c r="Y133" s="33">
        <f t="shared" si="98"/>
        <v>-75.508858050874736</v>
      </c>
      <c r="Z133" s="97">
        <f t="shared" si="83"/>
        <v>2.8126402986690815E-8</v>
      </c>
    </row>
    <row r="134" spans="2:26" x14ac:dyDescent="0.2">
      <c r="B134" s="13">
        <v>1000</v>
      </c>
      <c r="C134" s="33">
        <f>'3º Alta Frec'!H125</f>
        <v>66.462264246143832</v>
      </c>
      <c r="D134" s="33">
        <f>'3º Alta Frec'!R125</f>
        <v>66.099163408775723</v>
      </c>
      <c r="E134" s="34">
        <f t="shared" si="81"/>
        <v>2</v>
      </c>
      <c r="F134" s="112">
        <f t="shared" si="87"/>
        <v>66.276920208105309</v>
      </c>
      <c r="G134" s="13">
        <v>55</v>
      </c>
      <c r="H134" s="18">
        <f t="shared" si="92"/>
        <v>62</v>
      </c>
      <c r="I134" s="18">
        <f t="shared" si="93"/>
        <v>63</v>
      </c>
      <c r="J134" s="18">
        <f t="shared" si="94"/>
        <v>64</v>
      </c>
      <c r="K134" s="79">
        <f t="shared" si="88"/>
        <v>11.276920208105309</v>
      </c>
      <c r="L134" s="33">
        <f t="shared" si="89"/>
        <v>4.2769202081053095</v>
      </c>
      <c r="M134" s="98">
        <f t="shared" si="90"/>
        <v>3.2769202081053095</v>
      </c>
      <c r="N134" s="66">
        <f t="shared" si="91"/>
        <v>2.2769202081053095</v>
      </c>
      <c r="O134" s="99">
        <v>-10</v>
      </c>
      <c r="P134" s="33">
        <f t="shared" si="95"/>
        <v>-76.276920208105309</v>
      </c>
      <c r="Q134" s="97">
        <f t="shared" si="99"/>
        <v>2.356719955376911E-8</v>
      </c>
      <c r="R134" s="34">
        <v>-11</v>
      </c>
      <c r="S134" s="33">
        <f t="shared" si="96"/>
        <v>-77.276920208105309</v>
      </c>
      <c r="T134" s="97">
        <f t="shared" si="85"/>
        <v>1.872009201894031E-8</v>
      </c>
      <c r="U134" s="34">
        <v>-8</v>
      </c>
      <c r="V134" s="33">
        <f t="shared" si="100"/>
        <v>-74.276920208105309</v>
      </c>
      <c r="W134" s="97">
        <f t="shared" si="97"/>
        <v>3.7351494138141313E-8</v>
      </c>
      <c r="X134" s="34">
        <v>-8</v>
      </c>
      <c r="Y134" s="33">
        <f t="shared" si="98"/>
        <v>-74.276920208105309</v>
      </c>
      <c r="Z134" s="97">
        <f t="shared" si="83"/>
        <v>3.7351494138141313E-8</v>
      </c>
    </row>
    <row r="135" spans="2:26" x14ac:dyDescent="0.2">
      <c r="B135" s="13">
        <v>1250</v>
      </c>
      <c r="C135" s="33">
        <f>'3º Alta Frec'!H126</f>
        <v>67.894497075015522</v>
      </c>
      <c r="D135" s="33">
        <f>'3º Alta Frec'!R126</f>
        <v>68.195603057954699</v>
      </c>
      <c r="E135" s="34">
        <f t="shared" si="81"/>
        <v>2</v>
      </c>
      <c r="F135" s="112">
        <f t="shared" si="87"/>
        <v>68.042441045897817</v>
      </c>
      <c r="G135" s="13">
        <v>56</v>
      </c>
      <c r="H135" s="18">
        <f t="shared" si="92"/>
        <v>63</v>
      </c>
      <c r="I135" s="18">
        <f t="shared" si="93"/>
        <v>64</v>
      </c>
      <c r="J135" s="18">
        <f t="shared" si="94"/>
        <v>65</v>
      </c>
      <c r="K135" s="79">
        <f t="shared" si="88"/>
        <v>12.042441045897817</v>
      </c>
      <c r="L135" s="33">
        <f t="shared" si="89"/>
        <v>5.0424410458978173</v>
      </c>
      <c r="M135" s="98">
        <f t="shared" si="90"/>
        <v>4.0424410458978173</v>
      </c>
      <c r="N135" s="66">
        <f t="shared" si="91"/>
        <v>3.0424410458978173</v>
      </c>
      <c r="O135" s="99">
        <v>-9</v>
      </c>
      <c r="P135" s="33">
        <f t="shared" si="95"/>
        <v>-77.042441045897817</v>
      </c>
      <c r="Q135" s="97">
        <f t="shared" si="99"/>
        <v>1.9758587538717682E-8</v>
      </c>
      <c r="R135" s="34">
        <v>-10</v>
      </c>
      <c r="S135" s="33">
        <f t="shared" si="96"/>
        <v>-78.042441045897817</v>
      </c>
      <c r="T135" s="97">
        <f t="shared" si="85"/>
        <v>1.569480396027476E-8</v>
      </c>
      <c r="U135" s="34">
        <v>-9</v>
      </c>
      <c r="V135" s="33">
        <f t="shared" si="100"/>
        <v>-77.042441045897817</v>
      </c>
      <c r="W135" s="97">
        <f t="shared" si="97"/>
        <v>1.9758587538717682E-8</v>
      </c>
      <c r="X135" s="34">
        <v>-9</v>
      </c>
      <c r="Y135" s="33">
        <f t="shared" si="98"/>
        <v>-77.042441045897817</v>
      </c>
      <c r="Z135" s="97">
        <f t="shared" si="83"/>
        <v>1.9758587538717682E-8</v>
      </c>
    </row>
    <row r="136" spans="2:26" x14ac:dyDescent="0.2">
      <c r="B136" s="13">
        <v>1600</v>
      </c>
      <c r="C136" s="33">
        <f>'3º Alta Frec'!H127</f>
        <v>68.291180058285605</v>
      </c>
      <c r="D136" s="33">
        <f>'3º Alta Frec'!R127</f>
        <v>67.126560558823655</v>
      </c>
      <c r="E136" s="34">
        <f t="shared" si="81"/>
        <v>2</v>
      </c>
      <c r="F136" s="112">
        <f t="shared" si="87"/>
        <v>67.669948160461331</v>
      </c>
      <c r="G136" s="13">
        <v>56</v>
      </c>
      <c r="H136" s="18">
        <f t="shared" si="92"/>
        <v>63</v>
      </c>
      <c r="I136" s="18">
        <f t="shared" si="93"/>
        <v>64</v>
      </c>
      <c r="J136" s="18">
        <f t="shared" si="94"/>
        <v>65</v>
      </c>
      <c r="K136" s="79">
        <f t="shared" si="88"/>
        <v>11.669948160461331</v>
      </c>
      <c r="L136" s="33">
        <f t="shared" si="89"/>
        <v>4.6699481604613311</v>
      </c>
      <c r="M136" s="98">
        <f t="shared" si="90"/>
        <v>3.6699481604613311</v>
      </c>
      <c r="N136" s="66">
        <f t="shared" si="91"/>
        <v>2.6699481604613311</v>
      </c>
      <c r="O136" s="99">
        <v>-9</v>
      </c>
      <c r="P136" s="33">
        <f t="shared" si="95"/>
        <v>-76.669948160461331</v>
      </c>
      <c r="Q136" s="97">
        <f t="shared" si="99"/>
        <v>2.1528074315459289E-8</v>
      </c>
      <c r="R136" s="34">
        <v>-10</v>
      </c>
      <c r="S136" s="33">
        <f t="shared" si="96"/>
        <v>-77.669948160461331</v>
      </c>
      <c r="T136" s="97">
        <f t="shared" si="85"/>
        <v>1.7100357268011878E-8</v>
      </c>
      <c r="U136" s="34">
        <v>-10</v>
      </c>
      <c r="V136" s="33">
        <f t="shared" si="100"/>
        <v>-77.669948160461331</v>
      </c>
      <c r="W136" s="97">
        <f t="shared" si="97"/>
        <v>1.7100357268011878E-8</v>
      </c>
      <c r="X136" s="34">
        <v>-10</v>
      </c>
      <c r="Y136" s="33">
        <f t="shared" si="98"/>
        <v>-77.669948160461331</v>
      </c>
      <c r="Z136" s="97">
        <f t="shared" si="83"/>
        <v>1.7100357268011878E-8</v>
      </c>
    </row>
    <row r="137" spans="2:26" x14ac:dyDescent="0.2">
      <c r="B137" s="13">
        <v>2000</v>
      </c>
      <c r="C137" s="33">
        <f>'3º Alta Frec'!H128</f>
        <v>68.909622021899125</v>
      </c>
      <c r="D137" s="33">
        <f>'3º Alta Frec'!R128</f>
        <v>67.202588464044396</v>
      </c>
      <c r="E137" s="34">
        <f t="shared" si="81"/>
        <v>2</v>
      </c>
      <c r="F137" s="112">
        <f t="shared" si="87"/>
        <v>67.972769034075327</v>
      </c>
      <c r="G137" s="13">
        <v>56</v>
      </c>
      <c r="H137" s="18">
        <f t="shared" si="92"/>
        <v>63</v>
      </c>
      <c r="I137" s="18">
        <f t="shared" si="93"/>
        <v>64</v>
      </c>
      <c r="J137" s="18">
        <f t="shared" si="94"/>
        <v>65</v>
      </c>
      <c r="K137" s="79">
        <f t="shared" si="88"/>
        <v>11.972769034075327</v>
      </c>
      <c r="L137" s="33">
        <f t="shared" si="89"/>
        <v>4.972769034075327</v>
      </c>
      <c r="M137" s="98">
        <f t="shared" si="90"/>
        <v>3.972769034075327</v>
      </c>
      <c r="N137" s="66">
        <f t="shared" si="91"/>
        <v>2.972769034075327</v>
      </c>
      <c r="O137" s="99">
        <v>-9</v>
      </c>
      <c r="P137" s="33">
        <f t="shared" si="95"/>
        <v>-76.972769034075327</v>
      </c>
      <c r="Q137" s="97">
        <f t="shared" si="99"/>
        <v>2.0078122360594282E-8</v>
      </c>
      <c r="R137" s="34">
        <v>-10</v>
      </c>
      <c r="S137" s="33">
        <f t="shared" si="96"/>
        <v>-77.972769034075327</v>
      </c>
      <c r="T137" s="97">
        <f t="shared" si="85"/>
        <v>1.5948619491268939E-8</v>
      </c>
      <c r="U137" s="34">
        <v>-11</v>
      </c>
      <c r="V137" s="33">
        <f t="shared" si="100"/>
        <v>-78.972769034075327</v>
      </c>
      <c r="W137" s="97">
        <f t="shared" si="97"/>
        <v>1.2668438766788936E-8</v>
      </c>
      <c r="X137" s="34">
        <v>-11</v>
      </c>
      <c r="Y137" s="33">
        <f t="shared" si="98"/>
        <v>-78.972769034075327</v>
      </c>
      <c r="Z137" s="97">
        <f t="shared" si="83"/>
        <v>1.2668438766788936E-8</v>
      </c>
    </row>
    <row r="138" spans="2:26" x14ac:dyDescent="0.2">
      <c r="B138" s="13">
        <v>2500</v>
      </c>
      <c r="C138" s="33">
        <f>'3º Alta Frec'!H129</f>
        <v>67.298750667892008</v>
      </c>
      <c r="D138" s="33">
        <f>'3º Alta Frec'!R129</f>
        <v>67.349558827908822</v>
      </c>
      <c r="E138" s="34">
        <f t="shared" si="81"/>
        <v>2</v>
      </c>
      <c r="F138" s="112">
        <f t="shared" si="87"/>
        <v>67.324080447670099</v>
      </c>
      <c r="G138" s="13">
        <v>56</v>
      </c>
      <c r="H138" s="18">
        <f t="shared" si="92"/>
        <v>63</v>
      </c>
      <c r="I138" s="18">
        <f t="shared" si="93"/>
        <v>64</v>
      </c>
      <c r="J138" s="18">
        <f t="shared" si="94"/>
        <v>65</v>
      </c>
      <c r="K138" s="79">
        <f t="shared" si="88"/>
        <v>11.324080447670099</v>
      </c>
      <c r="L138" s="33">
        <f t="shared" si="89"/>
        <v>4.3240804476700987</v>
      </c>
      <c r="M138" s="98">
        <f t="shared" si="90"/>
        <v>3.3240804476700987</v>
      </c>
      <c r="N138" s="66">
        <f t="shared" si="91"/>
        <v>2.3240804476700987</v>
      </c>
      <c r="O138" s="99">
        <v>-9</v>
      </c>
      <c r="P138" s="33">
        <f t="shared" si="95"/>
        <v>-76.324080447670099</v>
      </c>
      <c r="Q138" s="97">
        <f t="shared" si="99"/>
        <v>2.3312666731923262E-8</v>
      </c>
      <c r="R138" s="34">
        <v>-10</v>
      </c>
      <c r="S138" s="33">
        <f t="shared" si="96"/>
        <v>-77.324080447670099</v>
      </c>
      <c r="T138" s="97">
        <f t="shared" si="85"/>
        <v>1.8517909411884043E-8</v>
      </c>
      <c r="U138" s="34">
        <v>-13</v>
      </c>
      <c r="V138" s="33">
        <f t="shared" si="100"/>
        <v>-80.324080447670099</v>
      </c>
      <c r="W138" s="97">
        <f t="shared" si="97"/>
        <v>9.2809397907026185E-9</v>
      </c>
      <c r="X138" s="34">
        <v>-13</v>
      </c>
      <c r="Y138" s="33">
        <f t="shared" si="98"/>
        <v>-80.324080447670099</v>
      </c>
      <c r="Z138" s="97">
        <f t="shared" si="83"/>
        <v>9.2809397907026185E-9</v>
      </c>
    </row>
    <row r="139" spans="2:26" x14ac:dyDescent="0.2">
      <c r="B139" s="13">
        <v>3150</v>
      </c>
      <c r="C139" s="33">
        <f>'3º Alta Frec'!H130</f>
        <v>63.090568777408997</v>
      </c>
      <c r="D139" s="33">
        <f>'3º Alta Frec'!R130</f>
        <v>63.4559343813388</v>
      </c>
      <c r="E139" s="34">
        <f t="shared" si="81"/>
        <v>2</v>
      </c>
      <c r="F139" s="112">
        <f t="shared" si="87"/>
        <v>63.269410502587277</v>
      </c>
      <c r="G139" s="13">
        <v>56</v>
      </c>
      <c r="H139" s="18">
        <f t="shared" si="92"/>
        <v>63</v>
      </c>
      <c r="I139" s="18">
        <f t="shared" si="93"/>
        <v>64</v>
      </c>
      <c r="J139" s="18">
        <f t="shared" si="94"/>
        <v>65</v>
      </c>
      <c r="K139" s="79">
        <f t="shared" si="88"/>
        <v>7.2694105025872773</v>
      </c>
      <c r="L139" s="33">
        <f t="shared" si="89"/>
        <v>0.26941050258727728</v>
      </c>
      <c r="M139" s="98">
        <f t="shared" si="90"/>
        <v>0</v>
      </c>
      <c r="N139" s="66">
        <f t="shared" si="91"/>
        <v>0</v>
      </c>
      <c r="O139" s="99">
        <v>-9</v>
      </c>
      <c r="P139" s="33">
        <f t="shared" si="95"/>
        <v>-72.269410502587277</v>
      </c>
      <c r="Q139" s="97">
        <f t="shared" si="99"/>
        <v>5.9300581182593938E-8</v>
      </c>
      <c r="R139" s="34">
        <v>-10</v>
      </c>
      <c r="S139" s="33">
        <f t="shared" si="96"/>
        <v>-73.269410502587277</v>
      </c>
      <c r="T139" s="97">
        <f t="shared" si="85"/>
        <v>4.7104125968893837E-8</v>
      </c>
      <c r="U139" s="34">
        <v>-15</v>
      </c>
      <c r="V139" s="33">
        <f t="shared" si="100"/>
        <v>-78.269410502587277</v>
      </c>
      <c r="W139" s="97">
        <f t="shared" si="97"/>
        <v>1.4895632525318985E-8</v>
      </c>
      <c r="X139" s="34">
        <v>-15</v>
      </c>
      <c r="Y139" s="33">
        <f t="shared" si="98"/>
        <v>-78.269410502587277</v>
      </c>
      <c r="Z139" s="97">
        <f t="shared" si="83"/>
        <v>1.4895632525318985E-8</v>
      </c>
    </row>
    <row r="140" spans="2:26" x14ac:dyDescent="0.2">
      <c r="B140" s="13">
        <v>4000</v>
      </c>
      <c r="C140" s="33">
        <f>'3º Alta Frec'!H131</f>
        <v>63.189269055177903</v>
      </c>
      <c r="D140" s="33">
        <f>'3º Alta Frec'!R131</f>
        <v>63.161969532113304</v>
      </c>
      <c r="E140" s="34">
        <f t="shared" si="81"/>
        <v>2</v>
      </c>
      <c r="F140" s="112">
        <f t="shared" si="87"/>
        <v>63.175597843259872</v>
      </c>
      <c r="G140" s="13"/>
      <c r="H140" s="18"/>
      <c r="I140" s="18"/>
      <c r="J140" s="18"/>
      <c r="K140" s="13"/>
      <c r="L140" s="18"/>
      <c r="M140" s="95"/>
      <c r="N140" s="96"/>
      <c r="O140" s="99"/>
      <c r="P140" s="18"/>
      <c r="Q140" s="97"/>
      <c r="R140" s="34">
        <v>-10</v>
      </c>
      <c r="S140" s="33">
        <f t="shared" si="96"/>
        <v>-73.175597843259879</v>
      </c>
      <c r="T140" s="97">
        <f t="shared" si="85"/>
        <v>4.8132699068889797E-8</v>
      </c>
      <c r="U140" s="18"/>
      <c r="V140" s="18"/>
      <c r="W140" s="97"/>
      <c r="X140" s="34">
        <v>-16</v>
      </c>
      <c r="Y140" s="33">
        <f t="shared" si="98"/>
        <v>-79.175597843259879</v>
      </c>
      <c r="Z140" s="97">
        <f t="shared" si="83"/>
        <v>1.2090387370307835E-8</v>
      </c>
    </row>
    <row r="141" spans="2:26" x14ac:dyDescent="0.2">
      <c r="B141" s="15">
        <v>5000</v>
      </c>
      <c r="C141" s="23">
        <f>'3º Alta Frec'!H132</f>
        <v>63.141084471385255</v>
      </c>
      <c r="D141" s="23">
        <f>'3º Alta Frec'!R132</f>
        <v>61.798846140234417</v>
      </c>
      <c r="E141" s="24">
        <f t="shared" si="81"/>
        <v>2</v>
      </c>
      <c r="F141" s="113">
        <f t="shared" si="87"/>
        <v>62.418316055654046</v>
      </c>
      <c r="G141" s="15"/>
      <c r="H141" s="16"/>
      <c r="I141" s="16"/>
      <c r="J141" s="16"/>
      <c r="K141" s="13"/>
      <c r="L141" s="18"/>
      <c r="M141" s="95"/>
      <c r="N141" s="96"/>
      <c r="O141" s="13"/>
      <c r="P141" s="18"/>
      <c r="Q141" s="97"/>
      <c r="R141" s="34">
        <v>-10</v>
      </c>
      <c r="S141" s="33">
        <f t="shared" si="96"/>
        <v>-72.418316055654046</v>
      </c>
      <c r="T141" s="97">
        <f t="shared" si="85"/>
        <v>5.730181714232384E-8</v>
      </c>
      <c r="U141" s="18"/>
      <c r="V141" s="18"/>
      <c r="W141" s="97"/>
      <c r="X141" s="34">
        <v>-18</v>
      </c>
      <c r="Y141" s="33">
        <f t="shared" si="98"/>
        <v>-80.418316055654046</v>
      </c>
      <c r="Z141" s="97">
        <f t="shared" si="83"/>
        <v>9.0817259904520628E-9</v>
      </c>
    </row>
    <row r="142" spans="2:26" x14ac:dyDescent="0.2">
      <c r="K142" s="80">
        <f>SUM(K124:K139)</f>
        <v>145.24792919698052</v>
      </c>
      <c r="L142" s="141">
        <f t="shared" ref="L142:N142" si="101">SUM(L124:L139)</f>
        <v>40.099295388251278</v>
      </c>
      <c r="M142" s="102">
        <f t="shared" si="101"/>
        <v>29.829884885664001</v>
      </c>
      <c r="N142" s="68">
        <f t="shared" si="101"/>
        <v>19.967561697580322</v>
      </c>
      <c r="O142" s="79" t="s">
        <v>133</v>
      </c>
      <c r="P142" s="33">
        <v>60</v>
      </c>
      <c r="Q142" s="103">
        <f>-10*LOG10(SUM(Q121:Q141))</f>
        <v>59.984588224418616</v>
      </c>
      <c r="R142" s="34"/>
      <c r="S142" s="33"/>
      <c r="T142" s="103">
        <f>-10*LOG10(SUM(T121:T141))</f>
        <v>60.041068609034333</v>
      </c>
      <c r="U142" s="33"/>
      <c r="V142" s="33"/>
      <c r="W142" s="103">
        <f>-10*LOG10(SUM(W121:W141))</f>
        <v>54.607888801766748</v>
      </c>
      <c r="X142" s="34"/>
      <c r="Y142" s="33"/>
      <c r="Z142" s="103">
        <f>-10*LOG10(SUM(Z121:Z141))</f>
        <v>52.178911928704778</v>
      </c>
    </row>
    <row r="143" spans="2:26" x14ac:dyDescent="0.2">
      <c r="O143" s="15"/>
      <c r="P143" s="16"/>
      <c r="Q143" s="114">
        <f>ROUND(Q142,0)-P142</f>
        <v>0</v>
      </c>
      <c r="R143" s="16"/>
      <c r="S143" s="16"/>
      <c r="T143" s="114">
        <f>ROUND(T142,0)-P142</f>
        <v>0</v>
      </c>
      <c r="U143" s="16"/>
      <c r="V143" s="16"/>
      <c r="W143" s="114">
        <f>ROUND(W142,0)-P142</f>
        <v>-5</v>
      </c>
      <c r="X143" s="16"/>
      <c r="Y143" s="16"/>
      <c r="Z143" s="114">
        <f>ROUND(Z142,0)-P142</f>
        <v>-8</v>
      </c>
    </row>
    <row r="144" spans="2:26" x14ac:dyDescent="0.2">
      <c r="G144" s="2" t="s">
        <v>91</v>
      </c>
    </row>
  </sheetData>
  <mergeCells count="40">
    <mergeCell ref="F118:Z118"/>
    <mergeCell ref="F119:F120"/>
    <mergeCell ref="G119:J119"/>
    <mergeCell ref="K119:N119"/>
    <mergeCell ref="O119:Q119"/>
    <mergeCell ref="R119:T119"/>
    <mergeCell ref="U119:W119"/>
    <mergeCell ref="X119:Z119"/>
    <mergeCell ref="F88:Z88"/>
    <mergeCell ref="F89:F90"/>
    <mergeCell ref="G89:J89"/>
    <mergeCell ref="K89:N89"/>
    <mergeCell ref="O89:Q89"/>
    <mergeCell ref="R89:T89"/>
    <mergeCell ref="U89:W89"/>
    <mergeCell ref="X89:Z89"/>
    <mergeCell ref="F59:Z59"/>
    <mergeCell ref="F60:F61"/>
    <mergeCell ref="G60:J60"/>
    <mergeCell ref="K60:N60"/>
    <mergeCell ref="O60:Q60"/>
    <mergeCell ref="R60:T60"/>
    <mergeCell ref="U60:W60"/>
    <mergeCell ref="X60:Z60"/>
    <mergeCell ref="F30:Z30"/>
    <mergeCell ref="F31:F32"/>
    <mergeCell ref="G31:J31"/>
    <mergeCell ref="K31:N31"/>
    <mergeCell ref="O31:Q31"/>
    <mergeCell ref="R31:T31"/>
    <mergeCell ref="U31:W31"/>
    <mergeCell ref="X31:Z31"/>
    <mergeCell ref="F1:Z1"/>
    <mergeCell ref="F2:F3"/>
    <mergeCell ref="G2:J2"/>
    <mergeCell ref="K2:N2"/>
    <mergeCell ref="O2:Q2"/>
    <mergeCell ref="R2:T2"/>
    <mergeCell ref="U2:W2"/>
    <mergeCell ref="X2:Z2"/>
  </mergeCells>
  <conditionalFormatting sqref="H23">
    <cfRule type="cellIs" dxfId="7" priority="4" operator="lessThan">
      <formula>0</formula>
    </cfRule>
  </conditionalFormatting>
  <conditionalFormatting sqref="H81">
    <cfRule type="cellIs" dxfId="6" priority="3" operator="lessThan">
      <formula>0</formula>
    </cfRule>
  </conditionalFormatting>
  <conditionalFormatting sqref="H110">
    <cfRule type="cellIs" dxfId="5" priority="2" operator="lessThan">
      <formula>0</formula>
    </cfRule>
  </conditionalFormatting>
  <conditionalFormatting sqref="H140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2855-5FE7-0647-A53E-F9EB1320D440}">
  <dimension ref="B2:Z150"/>
  <sheetViews>
    <sheetView showGridLines="0" topLeftCell="T16" zoomScale="99" workbookViewId="0">
      <selection activeCell="AE120" sqref="AE120"/>
    </sheetView>
  </sheetViews>
  <sheetFormatPr baseColWidth="10" defaultRowHeight="16" x14ac:dyDescent="0.2"/>
  <cols>
    <col min="1" max="5" width="10.83203125" style="2"/>
    <col min="6" max="6" width="7.6640625" style="2" customWidth="1"/>
    <col min="7" max="10" width="5.83203125" style="2" customWidth="1"/>
    <col min="11" max="11" width="6.83203125" style="2" customWidth="1"/>
    <col min="12" max="14" width="5.83203125" style="2" customWidth="1"/>
    <col min="15" max="15" width="8.5" style="2" customWidth="1"/>
    <col min="16" max="16" width="6.6640625" style="2" customWidth="1"/>
    <col min="17" max="17" width="13.5" style="2" customWidth="1"/>
    <col min="18" max="18" width="8.33203125" style="2" customWidth="1"/>
    <col min="19" max="19" width="6.83203125" style="2" customWidth="1"/>
    <col min="20" max="20" width="15.33203125" style="2" customWidth="1"/>
    <col min="21" max="21" width="8.33203125" style="2" customWidth="1"/>
    <col min="22" max="22" width="6.1640625" style="2" customWidth="1"/>
    <col min="23" max="23" width="13.5" style="2" customWidth="1"/>
    <col min="24" max="24" width="8.1640625" style="2" customWidth="1"/>
    <col min="25" max="25" width="6.83203125" style="2" customWidth="1"/>
    <col min="26" max="26" width="13.83203125" style="2" customWidth="1"/>
    <col min="27" max="16384" width="10.83203125" style="2"/>
  </cols>
  <sheetData>
    <row r="2" spans="2:26" x14ac:dyDescent="0.2">
      <c r="F2" s="172" t="s">
        <v>42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4"/>
    </row>
    <row r="3" spans="2:26" x14ac:dyDescent="0.2">
      <c r="B3" s="47" t="s">
        <v>42</v>
      </c>
      <c r="C3" s="48"/>
      <c r="D3" s="48"/>
      <c r="E3" s="48"/>
      <c r="F3" s="184"/>
      <c r="G3" s="162" t="s">
        <v>96</v>
      </c>
      <c r="H3" s="163"/>
      <c r="I3" s="163"/>
      <c r="J3" s="163"/>
      <c r="K3" s="186" t="s">
        <v>95</v>
      </c>
      <c r="L3" s="187"/>
      <c r="M3" s="187"/>
      <c r="N3" s="188"/>
      <c r="O3" s="189" t="s">
        <v>99</v>
      </c>
      <c r="P3" s="190"/>
      <c r="Q3" s="191"/>
      <c r="R3" s="192" t="s">
        <v>97</v>
      </c>
      <c r="S3" s="192"/>
      <c r="T3" s="193"/>
      <c r="U3" s="190" t="s">
        <v>100</v>
      </c>
      <c r="V3" s="190"/>
      <c r="W3" s="191"/>
      <c r="X3" s="192" t="s">
        <v>98</v>
      </c>
      <c r="Y3" s="192"/>
      <c r="Z3" s="193"/>
    </row>
    <row r="4" spans="2:26" ht="30" customHeight="1" x14ac:dyDescent="0.2">
      <c r="B4" s="28"/>
      <c r="C4" s="29"/>
      <c r="D4" s="29"/>
      <c r="E4" s="29" t="s">
        <v>50</v>
      </c>
      <c r="F4" s="185"/>
      <c r="G4" s="105" t="s">
        <v>94</v>
      </c>
      <c r="H4" s="106" t="s">
        <v>106</v>
      </c>
      <c r="I4" s="90" t="s">
        <v>101</v>
      </c>
      <c r="J4" s="106" t="s">
        <v>82</v>
      </c>
      <c r="K4" s="105" t="s">
        <v>94</v>
      </c>
      <c r="L4" s="106" t="s">
        <v>106</v>
      </c>
      <c r="M4" s="90" t="s">
        <v>101</v>
      </c>
      <c r="N4" s="106" t="s">
        <v>82</v>
      </c>
      <c r="O4" s="142" t="s">
        <v>126</v>
      </c>
      <c r="P4" s="143"/>
      <c r="Q4" s="145"/>
      <c r="R4" s="144" t="s">
        <v>126</v>
      </c>
      <c r="S4" s="144"/>
      <c r="T4" s="145"/>
      <c r="U4" s="144" t="s">
        <v>126</v>
      </c>
      <c r="V4" s="143"/>
      <c r="W4" s="145"/>
      <c r="X4" s="144" t="s">
        <v>126</v>
      </c>
      <c r="Y4" s="144"/>
      <c r="Z4" s="145"/>
    </row>
    <row r="5" spans="2:26" x14ac:dyDescent="0.2">
      <c r="B5" s="93">
        <v>50</v>
      </c>
      <c r="C5" s="55">
        <f>'3º Alta Frec'!J5</f>
        <v>26.169895968430541</v>
      </c>
      <c r="D5" s="55">
        <f>'3º Alta Frec'!T5</f>
        <v>29.29749128536265</v>
      </c>
      <c r="E5" s="86">
        <f t="shared" ref="E5:E25" si="0">COUNT(C5:D5)</f>
        <v>2</v>
      </c>
      <c r="F5" s="111">
        <v>24.630706394951751</v>
      </c>
      <c r="G5" s="13"/>
      <c r="H5" s="18"/>
      <c r="I5" s="18"/>
      <c r="J5" s="18"/>
      <c r="K5" s="13"/>
      <c r="L5" s="18"/>
      <c r="M5" s="95"/>
      <c r="N5" s="96"/>
      <c r="O5" s="13"/>
      <c r="P5" s="18"/>
      <c r="Q5" s="97"/>
      <c r="R5" s="34">
        <v>-41</v>
      </c>
      <c r="S5" s="33">
        <f t="shared" ref="S5:S7" si="1">R5-F5</f>
        <v>-65.630706394951744</v>
      </c>
      <c r="T5" s="97">
        <f>10^(S5/10)</f>
        <v>2.7348238615959902E-7</v>
      </c>
      <c r="U5" s="18"/>
      <c r="V5" s="18"/>
      <c r="W5" s="97"/>
      <c r="X5" s="34">
        <v>-25</v>
      </c>
      <c r="Y5" s="33">
        <f t="shared" ref="Y5:Y25" si="2">X5-F5</f>
        <v>-49.630706394951751</v>
      </c>
      <c r="Z5" s="97">
        <f t="shared" ref="Z5:Z25" si="3">10^(Y5/10)</f>
        <v>1.0887529895021675E-5</v>
      </c>
    </row>
    <row r="6" spans="2:26" x14ac:dyDescent="0.2">
      <c r="B6" s="13">
        <v>63</v>
      </c>
      <c r="C6" s="33">
        <f>'3º Alta Frec'!J6</f>
        <v>38.647495961060827</v>
      </c>
      <c r="D6" s="33">
        <f>'3º Alta Frec'!T6</f>
        <v>44.40217640191122</v>
      </c>
      <c r="E6" s="34">
        <f t="shared" si="0"/>
        <v>2</v>
      </c>
      <c r="F6" s="112">
        <v>22.402561907031245</v>
      </c>
      <c r="G6" s="13"/>
      <c r="H6" s="18"/>
      <c r="I6" s="18"/>
      <c r="J6" s="18"/>
      <c r="K6" s="13"/>
      <c r="L6" s="18"/>
      <c r="M6" s="95"/>
      <c r="N6" s="96"/>
      <c r="O6" s="13"/>
      <c r="P6" s="18"/>
      <c r="Q6" s="97"/>
      <c r="R6" s="34">
        <v>-37</v>
      </c>
      <c r="S6" s="33">
        <f t="shared" si="1"/>
        <v>-59.402561907031242</v>
      </c>
      <c r="T6" s="97">
        <f t="shared" ref="T6:T25" si="4">10^(S6/10)</f>
        <v>1.1474765243788702E-6</v>
      </c>
      <c r="U6" s="18"/>
      <c r="V6" s="18"/>
      <c r="W6" s="97"/>
      <c r="X6" s="34">
        <v>-23</v>
      </c>
      <c r="Y6" s="33">
        <f t="shared" si="2"/>
        <v>-45.402561907031242</v>
      </c>
      <c r="Z6" s="97">
        <f t="shared" si="3"/>
        <v>2.8823307120630585E-5</v>
      </c>
    </row>
    <row r="7" spans="2:26" x14ac:dyDescent="0.2">
      <c r="B7" s="13">
        <v>80</v>
      </c>
      <c r="C7" s="33">
        <f>'3º Alta Frec'!J7</f>
        <v>32.1699812289311</v>
      </c>
      <c r="D7" s="33">
        <f>'3º Alta Frec'!T7</f>
        <v>45.005032452373044</v>
      </c>
      <c r="E7" s="34">
        <f t="shared" si="0"/>
        <v>2</v>
      </c>
      <c r="F7" s="112">
        <v>27.720294100085621</v>
      </c>
      <c r="G7" s="13"/>
      <c r="H7" s="18"/>
      <c r="I7" s="18"/>
      <c r="J7" s="18"/>
      <c r="K7" s="13"/>
      <c r="L7" s="18"/>
      <c r="M7" s="95"/>
      <c r="N7" s="96"/>
      <c r="O7" s="13"/>
      <c r="P7" s="18"/>
      <c r="Q7" s="97"/>
      <c r="R7" s="34">
        <v>-34</v>
      </c>
      <c r="S7" s="33">
        <f t="shared" si="1"/>
        <v>-61.720294100085624</v>
      </c>
      <c r="T7" s="97">
        <f t="shared" si="4"/>
        <v>6.7293108448935417E-7</v>
      </c>
      <c r="U7" s="18"/>
      <c r="V7" s="18"/>
      <c r="W7" s="97"/>
      <c r="X7" s="34">
        <v>-21</v>
      </c>
      <c r="Y7" s="33">
        <f t="shared" si="2"/>
        <v>-48.720294100085624</v>
      </c>
      <c r="Z7" s="97">
        <f t="shared" si="3"/>
        <v>1.3426740334527474E-5</v>
      </c>
    </row>
    <row r="8" spans="2:26" x14ac:dyDescent="0.2">
      <c r="B8" s="13">
        <v>100</v>
      </c>
      <c r="C8" s="33">
        <f>'3º Alta Frec'!J8</f>
        <v>36.168894394983141</v>
      </c>
      <c r="D8" s="33">
        <f>'3º Alta Frec'!T8</f>
        <v>45.352919382397744</v>
      </c>
      <c r="E8" s="34">
        <f t="shared" si="0"/>
        <v>2</v>
      </c>
      <c r="F8" s="112">
        <f t="shared" ref="F8:F25" si="5">-10*LOG10((10^(-C8/10)+10^(-D8/10))/E8)</f>
        <v>38.684418840593857</v>
      </c>
      <c r="G8" s="13">
        <v>33</v>
      </c>
      <c r="H8" s="18">
        <f>G8-4</f>
        <v>29</v>
      </c>
      <c r="I8" s="18">
        <f>G8-5</f>
        <v>28</v>
      </c>
      <c r="J8" s="18">
        <f>G8-6</f>
        <v>27</v>
      </c>
      <c r="K8" s="79">
        <f t="shared" ref="K8:K23" si="6">IF((F8-G8)&gt;0,F8-G8,0)</f>
        <v>5.6844188405938567</v>
      </c>
      <c r="L8" s="33">
        <f t="shared" ref="L8:L23" si="7">IF((F8-H8)&gt;0,F8-H8,0)</f>
        <v>9.6844188405938567</v>
      </c>
      <c r="M8" s="98">
        <f t="shared" ref="M8:M23" si="8">IF((F8-I8)&gt;0,F8-I8,0)</f>
        <v>10.684418840593857</v>
      </c>
      <c r="N8" s="66">
        <f t="shared" ref="N8:N23" si="9">IF((F8-J8)&gt;0,F8-J8,0)</f>
        <v>11.684418840593857</v>
      </c>
      <c r="O8" s="99">
        <v>-29</v>
      </c>
      <c r="P8" s="33">
        <f>O8-F8</f>
        <v>-67.68441884059385</v>
      </c>
      <c r="Q8" s="97">
        <f>10^(P8/10)</f>
        <v>1.7043473745360436E-7</v>
      </c>
      <c r="R8" s="34">
        <v>-30</v>
      </c>
      <c r="S8" s="33">
        <f>R8-F8</f>
        <v>-68.68441884059385</v>
      </c>
      <c r="T8" s="97">
        <f>10^(S8/10)</f>
        <v>1.3538112413721808E-7</v>
      </c>
      <c r="U8" s="34">
        <v>-20</v>
      </c>
      <c r="V8" s="33">
        <f>U8-F8</f>
        <v>-58.684418840593857</v>
      </c>
      <c r="W8" s="97">
        <f>10^(V8/10)</f>
        <v>1.3538112413721773E-6</v>
      </c>
      <c r="X8" s="34">
        <v>-20</v>
      </c>
      <c r="Y8" s="33">
        <f>X8-F8</f>
        <v>-58.684418840593857</v>
      </c>
      <c r="Z8" s="97">
        <f>10^(Y8/10)</f>
        <v>1.3538112413721773E-6</v>
      </c>
    </row>
    <row r="9" spans="2:26" x14ac:dyDescent="0.2">
      <c r="B9" s="13">
        <v>125</v>
      </c>
      <c r="C9" s="33">
        <f>'3º Alta Frec'!J9</f>
        <v>33.602308062018835</v>
      </c>
      <c r="D9" s="33">
        <f>'3º Alta Frec'!T9</f>
        <v>34.966831752012418</v>
      </c>
      <c r="E9" s="34">
        <f t="shared" si="0"/>
        <v>2</v>
      </c>
      <c r="F9" s="112">
        <f t="shared" si="5"/>
        <v>34.231198390335791</v>
      </c>
      <c r="G9" s="13">
        <v>36</v>
      </c>
      <c r="H9" s="18">
        <f t="shared" ref="H9:H23" si="10">G9-4</f>
        <v>32</v>
      </c>
      <c r="I9" s="18">
        <f t="shared" ref="I9:I23" si="11">G9-5</f>
        <v>31</v>
      </c>
      <c r="J9" s="18">
        <f t="shared" ref="J9:J23" si="12">G9-6</f>
        <v>30</v>
      </c>
      <c r="K9" s="79">
        <f t="shared" si="6"/>
        <v>0</v>
      </c>
      <c r="L9" s="33">
        <f t="shared" si="7"/>
        <v>2.2311983903357913</v>
      </c>
      <c r="M9" s="98">
        <f t="shared" si="8"/>
        <v>3.2311983903357913</v>
      </c>
      <c r="N9" s="66">
        <f t="shared" si="9"/>
        <v>4.2311983903357913</v>
      </c>
      <c r="O9" s="99">
        <v>-26</v>
      </c>
      <c r="P9" s="33">
        <f t="shared" ref="P9:P23" si="13">O9-F9</f>
        <v>-60.231198390335791</v>
      </c>
      <c r="Q9" s="97">
        <f t="shared" ref="Q9:Q23" si="14">10^(P9/10)</f>
        <v>9.4815679322001729E-7</v>
      </c>
      <c r="R9" s="34">
        <v>-27</v>
      </c>
      <c r="S9" s="33">
        <f t="shared" ref="S9:S25" si="15">R9-F9</f>
        <v>-61.231198390335791</v>
      </c>
      <c r="T9" s="97">
        <f t="shared" si="4"/>
        <v>7.5314771180029144E-7</v>
      </c>
      <c r="U9" s="34">
        <v>-20</v>
      </c>
      <c r="V9" s="33">
        <f t="shared" ref="V9:V23" si="16">U9-F9</f>
        <v>-54.231198390335791</v>
      </c>
      <c r="W9" s="97">
        <f t="shared" ref="W9:W23" si="17">10^(V9/10)</f>
        <v>3.7746801818989832E-6</v>
      </c>
      <c r="X9" s="34">
        <v>-20</v>
      </c>
      <c r="Y9" s="33">
        <f t="shared" si="2"/>
        <v>-54.231198390335791</v>
      </c>
      <c r="Z9" s="97">
        <f t="shared" si="3"/>
        <v>3.7746801818989832E-6</v>
      </c>
    </row>
    <row r="10" spans="2:26" x14ac:dyDescent="0.2">
      <c r="B10" s="13">
        <v>160</v>
      </c>
      <c r="C10" s="33">
        <f>'3º Alta Frec'!J10</f>
        <v>37.461617614253093</v>
      </c>
      <c r="D10" s="33">
        <f>'3º Alta Frec'!T10</f>
        <v>39.696588993675462</v>
      </c>
      <c r="E10" s="34">
        <f t="shared" si="0"/>
        <v>2</v>
      </c>
      <c r="F10" s="112">
        <f t="shared" si="5"/>
        <v>38.436891870986685</v>
      </c>
      <c r="G10" s="13">
        <v>39</v>
      </c>
      <c r="H10" s="18">
        <f t="shared" si="10"/>
        <v>35</v>
      </c>
      <c r="I10" s="18">
        <f t="shared" si="11"/>
        <v>34</v>
      </c>
      <c r="J10" s="18">
        <f t="shared" si="12"/>
        <v>33</v>
      </c>
      <c r="K10" s="79">
        <f t="shared" si="6"/>
        <v>0</v>
      </c>
      <c r="L10" s="33">
        <f t="shared" si="7"/>
        <v>3.4368918709866847</v>
      </c>
      <c r="M10" s="98">
        <f t="shared" si="8"/>
        <v>4.4368918709866847</v>
      </c>
      <c r="N10" s="66">
        <f t="shared" si="9"/>
        <v>5.4368918709866847</v>
      </c>
      <c r="O10" s="99">
        <v>-23</v>
      </c>
      <c r="P10" s="33">
        <f t="shared" si="13"/>
        <v>-61.436891870986685</v>
      </c>
      <c r="Q10" s="97">
        <f t="shared" si="14"/>
        <v>7.1830818124192108E-7</v>
      </c>
      <c r="R10" s="34">
        <v>-24</v>
      </c>
      <c r="S10" s="33">
        <f t="shared" si="15"/>
        <v>-62.436891870986685</v>
      </c>
      <c r="T10" s="97">
        <f t="shared" si="4"/>
        <v>5.70572469593904E-7</v>
      </c>
      <c r="U10" s="34">
        <v>-18</v>
      </c>
      <c r="V10" s="33">
        <f t="shared" si="16"/>
        <v>-56.436891870986685</v>
      </c>
      <c r="W10" s="97">
        <f t="shared" si="17"/>
        <v>2.2714899146575079E-6</v>
      </c>
      <c r="X10" s="34">
        <v>-18</v>
      </c>
      <c r="Y10" s="33">
        <f t="shared" si="2"/>
        <v>-56.436891870986685</v>
      </c>
      <c r="Z10" s="97">
        <f t="shared" si="3"/>
        <v>2.2714899146575079E-6</v>
      </c>
    </row>
    <row r="11" spans="2:26" x14ac:dyDescent="0.2">
      <c r="B11" s="13">
        <v>200</v>
      </c>
      <c r="C11" s="33">
        <f>'3º Alta Frec'!J11</f>
        <v>41.564616160969933</v>
      </c>
      <c r="D11" s="33">
        <f>'3º Alta Frec'!T11</f>
        <v>39.325776109642845</v>
      </c>
      <c r="E11" s="34">
        <f t="shared" si="0"/>
        <v>2</v>
      </c>
      <c r="F11" s="112">
        <f t="shared" si="5"/>
        <v>40.302497275035797</v>
      </c>
      <c r="G11" s="13">
        <v>42</v>
      </c>
      <c r="H11" s="18">
        <f t="shared" si="10"/>
        <v>38</v>
      </c>
      <c r="I11" s="18">
        <f t="shared" si="11"/>
        <v>37</v>
      </c>
      <c r="J11" s="18">
        <f t="shared" si="12"/>
        <v>36</v>
      </c>
      <c r="K11" s="79">
        <f t="shared" si="6"/>
        <v>0</v>
      </c>
      <c r="L11" s="33">
        <f t="shared" si="7"/>
        <v>2.3024972750357975</v>
      </c>
      <c r="M11" s="98">
        <f t="shared" si="8"/>
        <v>3.3024972750357975</v>
      </c>
      <c r="N11" s="66">
        <f t="shared" si="9"/>
        <v>4.3024972750357975</v>
      </c>
      <c r="O11" s="99">
        <v>-21</v>
      </c>
      <c r="P11" s="33">
        <f t="shared" si="13"/>
        <v>-61.302497275035797</v>
      </c>
      <c r="Q11" s="97">
        <f t="shared" si="14"/>
        <v>7.4088409648786798E-7</v>
      </c>
      <c r="R11" s="34">
        <v>-22</v>
      </c>
      <c r="S11" s="33">
        <f t="shared" si="15"/>
        <v>-62.302497275035797</v>
      </c>
      <c r="T11" s="97">
        <f t="shared" si="4"/>
        <v>5.8850515649850295E-7</v>
      </c>
      <c r="U11" s="34">
        <v>-16</v>
      </c>
      <c r="V11" s="33">
        <f t="shared" si="16"/>
        <v>-56.302497275035797</v>
      </c>
      <c r="W11" s="97">
        <f t="shared" si="17"/>
        <v>2.3428812270976199E-6</v>
      </c>
      <c r="X11" s="34">
        <v>-16</v>
      </c>
      <c r="Y11" s="33">
        <f t="shared" si="2"/>
        <v>-56.302497275035797</v>
      </c>
      <c r="Z11" s="97">
        <f t="shared" si="3"/>
        <v>2.3428812270976199E-6</v>
      </c>
    </row>
    <row r="12" spans="2:26" x14ac:dyDescent="0.2">
      <c r="B12" s="13">
        <v>250</v>
      </c>
      <c r="C12" s="33">
        <f>'3º Alta Frec'!J12</f>
        <v>45.634067978114679</v>
      </c>
      <c r="D12" s="33">
        <f>'3º Alta Frec'!T12</f>
        <v>41.642522461064182</v>
      </c>
      <c r="E12" s="34">
        <f t="shared" si="0"/>
        <v>2</v>
      </c>
      <c r="F12" s="112">
        <f t="shared" si="5"/>
        <v>43.195008719363052</v>
      </c>
      <c r="G12" s="100">
        <v>45</v>
      </c>
      <c r="H12" s="18">
        <f t="shared" si="10"/>
        <v>41</v>
      </c>
      <c r="I12" s="18">
        <f t="shared" si="11"/>
        <v>40</v>
      </c>
      <c r="J12" s="18">
        <f t="shared" si="12"/>
        <v>39</v>
      </c>
      <c r="K12" s="79">
        <f t="shared" si="6"/>
        <v>0</v>
      </c>
      <c r="L12" s="33">
        <f t="shared" si="7"/>
        <v>2.1950087193630523</v>
      </c>
      <c r="M12" s="98">
        <f t="shared" si="8"/>
        <v>3.1950087193630523</v>
      </c>
      <c r="N12" s="66">
        <f t="shared" si="9"/>
        <v>4.1950087193630523</v>
      </c>
      <c r="O12" s="99">
        <v>-19</v>
      </c>
      <c r="P12" s="33">
        <f t="shared" si="13"/>
        <v>-62.195008719363052</v>
      </c>
      <c r="Q12" s="97">
        <f t="shared" si="14"/>
        <v>6.0325249677081052E-7</v>
      </c>
      <c r="R12" s="34">
        <v>-20</v>
      </c>
      <c r="S12" s="33">
        <f t="shared" si="15"/>
        <v>-63.195008719363052</v>
      </c>
      <c r="T12" s="97">
        <f t="shared" si="4"/>
        <v>4.7918049085297368E-7</v>
      </c>
      <c r="U12" s="34">
        <v>-15</v>
      </c>
      <c r="V12" s="33">
        <f t="shared" si="16"/>
        <v>-58.195008719363052</v>
      </c>
      <c r="W12" s="97">
        <f t="shared" si="17"/>
        <v>1.515301761412878E-6</v>
      </c>
      <c r="X12" s="34">
        <v>-15</v>
      </c>
      <c r="Y12" s="33">
        <f t="shared" si="2"/>
        <v>-58.195008719363052</v>
      </c>
      <c r="Z12" s="97">
        <f t="shared" si="3"/>
        <v>1.515301761412878E-6</v>
      </c>
    </row>
    <row r="13" spans="2:26" x14ac:dyDescent="0.2">
      <c r="B13" s="13">
        <v>315</v>
      </c>
      <c r="C13" s="33">
        <f>'3º Alta Frec'!J13</f>
        <v>42.08769518419048</v>
      </c>
      <c r="D13" s="33">
        <f>'3º Alta Frec'!T13</f>
        <v>40.272833861541997</v>
      </c>
      <c r="E13" s="34">
        <f t="shared" si="0"/>
        <v>2</v>
      </c>
      <c r="F13" s="112">
        <f t="shared" si="5"/>
        <v>41.086145462768506</v>
      </c>
      <c r="G13" s="100">
        <v>48</v>
      </c>
      <c r="H13" s="18">
        <f t="shared" si="10"/>
        <v>44</v>
      </c>
      <c r="I13" s="18">
        <f t="shared" si="11"/>
        <v>43</v>
      </c>
      <c r="J13" s="18">
        <f t="shared" si="12"/>
        <v>42</v>
      </c>
      <c r="K13" s="79">
        <f t="shared" si="6"/>
        <v>0</v>
      </c>
      <c r="L13" s="33">
        <f t="shared" si="7"/>
        <v>0</v>
      </c>
      <c r="M13" s="98">
        <f t="shared" si="8"/>
        <v>0</v>
      </c>
      <c r="N13" s="66">
        <f t="shared" si="9"/>
        <v>0</v>
      </c>
      <c r="O13" s="99">
        <v>-17</v>
      </c>
      <c r="P13" s="33">
        <f t="shared" si="13"/>
        <v>-58.086145462768506</v>
      </c>
      <c r="Q13" s="97">
        <f t="shared" si="14"/>
        <v>1.5537654271298839E-6</v>
      </c>
      <c r="R13" s="34">
        <v>-18</v>
      </c>
      <c r="S13" s="33">
        <f t="shared" si="15"/>
        <v>-59.086145462768506</v>
      </c>
      <c r="T13" s="97">
        <f t="shared" si="4"/>
        <v>1.2341997489077012E-6</v>
      </c>
      <c r="U13" s="34">
        <v>-14</v>
      </c>
      <c r="V13" s="33">
        <f t="shared" si="16"/>
        <v>-55.086145462768506</v>
      </c>
      <c r="W13" s="97">
        <f t="shared" si="17"/>
        <v>3.100169603053784E-6</v>
      </c>
      <c r="X13" s="34">
        <v>-14</v>
      </c>
      <c r="Y13" s="33">
        <f t="shared" si="2"/>
        <v>-55.086145462768506</v>
      </c>
      <c r="Z13" s="97">
        <f t="shared" si="3"/>
        <v>3.100169603053784E-6</v>
      </c>
    </row>
    <row r="14" spans="2:26" x14ac:dyDescent="0.2">
      <c r="B14" s="13">
        <v>400</v>
      </c>
      <c r="C14" s="33">
        <f>'3º Alta Frec'!J14</f>
        <v>41.790032987909257</v>
      </c>
      <c r="D14" s="33">
        <f>'3º Alta Frec'!T14</f>
        <v>42.195819126037883</v>
      </c>
      <c r="E14" s="34">
        <f t="shared" si="0"/>
        <v>2</v>
      </c>
      <c r="F14" s="112">
        <f t="shared" si="5"/>
        <v>41.988188415406114</v>
      </c>
      <c r="G14" s="100">
        <v>51</v>
      </c>
      <c r="H14" s="18">
        <f t="shared" si="10"/>
        <v>47</v>
      </c>
      <c r="I14" s="18">
        <f t="shared" si="11"/>
        <v>46</v>
      </c>
      <c r="J14" s="18">
        <f t="shared" si="12"/>
        <v>45</v>
      </c>
      <c r="K14" s="79">
        <f t="shared" si="6"/>
        <v>0</v>
      </c>
      <c r="L14" s="33">
        <f t="shared" si="7"/>
        <v>0</v>
      </c>
      <c r="M14" s="98">
        <f t="shared" si="8"/>
        <v>0</v>
      </c>
      <c r="N14" s="66">
        <f t="shared" si="9"/>
        <v>0</v>
      </c>
      <c r="O14" s="99">
        <v>-15</v>
      </c>
      <c r="P14" s="33">
        <f t="shared" si="13"/>
        <v>-56.988188415406114</v>
      </c>
      <c r="Q14" s="97">
        <f t="shared" si="14"/>
        <v>2.0006962515620786E-6</v>
      </c>
      <c r="R14" s="34">
        <v>-16</v>
      </c>
      <c r="S14" s="33">
        <f t="shared" si="15"/>
        <v>-57.988188415406114</v>
      </c>
      <c r="T14" s="97">
        <f t="shared" si="4"/>
        <v>1.5892095217227945E-6</v>
      </c>
      <c r="U14" s="34">
        <v>-13</v>
      </c>
      <c r="V14" s="33">
        <f t="shared" si="16"/>
        <v>-54.988188415406114</v>
      </c>
      <c r="W14" s="97">
        <f t="shared" si="17"/>
        <v>3.1708898692832055E-6</v>
      </c>
      <c r="X14" s="34">
        <v>-13</v>
      </c>
      <c r="Y14" s="33">
        <f t="shared" si="2"/>
        <v>-54.988188415406114</v>
      </c>
      <c r="Z14" s="97">
        <f t="shared" si="3"/>
        <v>3.1708898692832055E-6</v>
      </c>
    </row>
    <row r="15" spans="2:26" x14ac:dyDescent="0.2">
      <c r="B15" s="13">
        <v>500</v>
      </c>
      <c r="C15" s="33">
        <f>'3º Alta Frec'!J15</f>
        <v>43.510798780570184</v>
      </c>
      <c r="D15" s="33">
        <f>'3º Alta Frec'!T15</f>
        <v>43.666334386158006</v>
      </c>
      <c r="E15" s="34">
        <f t="shared" si="0"/>
        <v>2</v>
      </c>
      <c r="F15" s="112">
        <f t="shared" si="5"/>
        <v>43.587870338278677</v>
      </c>
      <c r="G15" s="101">
        <v>52</v>
      </c>
      <c r="H15" s="18">
        <f t="shared" si="10"/>
        <v>48</v>
      </c>
      <c r="I15" s="95">
        <f t="shared" si="11"/>
        <v>47</v>
      </c>
      <c r="J15" s="18">
        <f t="shared" si="12"/>
        <v>46</v>
      </c>
      <c r="K15" s="79">
        <f t="shared" si="6"/>
        <v>0</v>
      </c>
      <c r="L15" s="33">
        <f t="shared" si="7"/>
        <v>0</v>
      </c>
      <c r="M15" s="98">
        <f t="shared" si="8"/>
        <v>0</v>
      </c>
      <c r="N15" s="66">
        <f t="shared" si="9"/>
        <v>0</v>
      </c>
      <c r="O15" s="99">
        <v>-13</v>
      </c>
      <c r="P15" s="33">
        <f t="shared" si="13"/>
        <v>-56.587870338278677</v>
      </c>
      <c r="Q15" s="97">
        <f t="shared" si="14"/>
        <v>2.193880490790084E-6</v>
      </c>
      <c r="R15" s="34">
        <v>-14</v>
      </c>
      <c r="S15" s="33">
        <f t="shared" si="15"/>
        <v>-57.587870338278677</v>
      </c>
      <c r="T15" s="97">
        <f t="shared" si="4"/>
        <v>1.7426612174453296E-6</v>
      </c>
      <c r="U15" s="34">
        <v>-12</v>
      </c>
      <c r="V15" s="33">
        <f t="shared" si="16"/>
        <v>-55.587870338278677</v>
      </c>
      <c r="W15" s="97">
        <f t="shared" si="17"/>
        <v>2.7619319002950985E-6</v>
      </c>
      <c r="X15" s="34">
        <v>-12</v>
      </c>
      <c r="Y15" s="33">
        <f t="shared" si="2"/>
        <v>-55.587870338278677</v>
      </c>
      <c r="Z15" s="97">
        <f t="shared" si="3"/>
        <v>2.7619319002950985E-6</v>
      </c>
    </row>
    <row r="16" spans="2:26" x14ac:dyDescent="0.2">
      <c r="B16" s="13">
        <v>630</v>
      </c>
      <c r="C16" s="33">
        <f>'3º Alta Frec'!J16</f>
        <v>48.234336265124938</v>
      </c>
      <c r="D16" s="33">
        <f>'3º Alta Frec'!T16</f>
        <v>49.058975914575271</v>
      </c>
      <c r="E16" s="34">
        <f t="shared" si="0"/>
        <v>2</v>
      </c>
      <c r="F16" s="112">
        <f t="shared" si="5"/>
        <v>48.627112570482936</v>
      </c>
      <c r="G16" s="13">
        <v>53</v>
      </c>
      <c r="H16" s="18">
        <f t="shared" si="10"/>
        <v>49</v>
      </c>
      <c r="I16" s="18">
        <f t="shared" si="11"/>
        <v>48</v>
      </c>
      <c r="J16" s="18">
        <f t="shared" si="12"/>
        <v>47</v>
      </c>
      <c r="K16" s="79">
        <f t="shared" si="6"/>
        <v>0</v>
      </c>
      <c r="L16" s="33">
        <f t="shared" si="7"/>
        <v>0</v>
      </c>
      <c r="M16" s="98">
        <f t="shared" si="8"/>
        <v>0.62711257048293589</v>
      </c>
      <c r="N16" s="66">
        <f t="shared" si="9"/>
        <v>1.6271125704829359</v>
      </c>
      <c r="O16" s="99">
        <v>-12</v>
      </c>
      <c r="P16" s="33">
        <f t="shared" si="13"/>
        <v>-60.627112570482936</v>
      </c>
      <c r="Q16" s="97">
        <f t="shared" si="14"/>
        <v>8.6554318842274925E-7</v>
      </c>
      <c r="R16" s="34">
        <v>-13</v>
      </c>
      <c r="S16" s="33">
        <f t="shared" si="15"/>
        <v>-61.627112570482936</v>
      </c>
      <c r="T16" s="97">
        <f t="shared" si="4"/>
        <v>6.8752539293746936E-7</v>
      </c>
      <c r="U16" s="34">
        <v>-11</v>
      </c>
      <c r="V16" s="33">
        <f t="shared" si="16"/>
        <v>-59.627112570482936</v>
      </c>
      <c r="W16" s="97">
        <f t="shared" si="17"/>
        <v>1.089654314910747E-6</v>
      </c>
      <c r="X16" s="34">
        <v>-11</v>
      </c>
      <c r="Y16" s="33">
        <f t="shared" si="2"/>
        <v>-59.627112570482936</v>
      </c>
      <c r="Z16" s="97">
        <f t="shared" si="3"/>
        <v>1.089654314910747E-6</v>
      </c>
    </row>
    <row r="17" spans="2:26" x14ac:dyDescent="0.2">
      <c r="B17" s="13">
        <v>800</v>
      </c>
      <c r="C17" s="33">
        <f>'3º Alta Frec'!J17</f>
        <v>51.197008544886081</v>
      </c>
      <c r="D17" s="33">
        <f>'3º Alta Frec'!T17</f>
        <v>50.440296055959813</v>
      </c>
      <c r="E17" s="34">
        <f t="shared" si="0"/>
        <v>2</v>
      </c>
      <c r="F17" s="112">
        <f t="shared" si="5"/>
        <v>50.80219195682912</v>
      </c>
      <c r="G17" s="13">
        <v>54</v>
      </c>
      <c r="H17" s="18">
        <f t="shared" si="10"/>
        <v>50</v>
      </c>
      <c r="I17" s="18">
        <f t="shared" si="11"/>
        <v>49</v>
      </c>
      <c r="J17" s="18">
        <f t="shared" si="12"/>
        <v>48</v>
      </c>
      <c r="K17" s="79">
        <f t="shared" si="6"/>
        <v>0</v>
      </c>
      <c r="L17" s="33">
        <f t="shared" si="7"/>
        <v>0.80219195682911959</v>
      </c>
      <c r="M17" s="98">
        <f t="shared" si="8"/>
        <v>1.8021919568291196</v>
      </c>
      <c r="N17" s="66">
        <f t="shared" si="9"/>
        <v>2.8021919568291196</v>
      </c>
      <c r="O17" s="99">
        <v>-11</v>
      </c>
      <c r="P17" s="33">
        <f t="shared" si="13"/>
        <v>-61.80219195682912</v>
      </c>
      <c r="Q17" s="97">
        <f t="shared" si="14"/>
        <v>6.6036006912095361E-7</v>
      </c>
      <c r="R17" s="34">
        <v>-12</v>
      </c>
      <c r="S17" s="33">
        <f t="shared" si="15"/>
        <v>-62.80219195682912</v>
      </c>
      <c r="T17" s="97">
        <f t="shared" si="4"/>
        <v>5.2454264798725124E-7</v>
      </c>
      <c r="U17" s="34">
        <v>-9</v>
      </c>
      <c r="V17" s="33">
        <f t="shared" si="16"/>
        <v>-59.80219195682912</v>
      </c>
      <c r="W17" s="97">
        <f t="shared" si="17"/>
        <v>1.0466001781229497E-6</v>
      </c>
      <c r="X17" s="34">
        <v>-9</v>
      </c>
      <c r="Y17" s="33">
        <f t="shared" si="2"/>
        <v>-59.80219195682912</v>
      </c>
      <c r="Z17" s="97">
        <f t="shared" si="3"/>
        <v>1.0466001781229497E-6</v>
      </c>
    </row>
    <row r="18" spans="2:26" x14ac:dyDescent="0.2">
      <c r="B18" s="13">
        <v>1000</v>
      </c>
      <c r="C18" s="33">
        <f>'3º Alta Frec'!J18</f>
        <v>53.347342066419088</v>
      </c>
      <c r="D18" s="33">
        <f>'3º Alta Frec'!T18</f>
        <v>52.044468249655466</v>
      </c>
      <c r="E18" s="34">
        <f t="shared" si="0"/>
        <v>2</v>
      </c>
      <c r="F18" s="112">
        <f t="shared" si="5"/>
        <v>52.647229871754497</v>
      </c>
      <c r="G18" s="13">
        <v>55</v>
      </c>
      <c r="H18" s="18">
        <f t="shared" si="10"/>
        <v>51</v>
      </c>
      <c r="I18" s="18">
        <f t="shared" si="11"/>
        <v>50</v>
      </c>
      <c r="J18" s="18">
        <f t="shared" si="12"/>
        <v>49</v>
      </c>
      <c r="K18" s="79">
        <f t="shared" si="6"/>
        <v>0</v>
      </c>
      <c r="L18" s="33">
        <f t="shared" si="7"/>
        <v>1.6472298717544973</v>
      </c>
      <c r="M18" s="98">
        <f t="shared" si="8"/>
        <v>2.6472298717544973</v>
      </c>
      <c r="N18" s="66">
        <f t="shared" si="9"/>
        <v>3.6472298717544973</v>
      </c>
      <c r="O18" s="99">
        <v>-10</v>
      </c>
      <c r="P18" s="33">
        <f t="shared" si="13"/>
        <v>-62.647229871754497</v>
      </c>
      <c r="Q18" s="97">
        <f t="shared" si="14"/>
        <v>5.4359695185966488E-7</v>
      </c>
      <c r="R18" s="34">
        <v>-11</v>
      </c>
      <c r="S18" s="33">
        <f t="shared" si="15"/>
        <v>-63.647229871754497</v>
      </c>
      <c r="T18" s="97">
        <f t="shared" si="4"/>
        <v>4.3179440717218817E-7</v>
      </c>
      <c r="U18" s="34">
        <v>-8</v>
      </c>
      <c r="V18" s="33">
        <f t="shared" si="16"/>
        <v>-60.647229871754497</v>
      </c>
      <c r="W18" s="97">
        <f t="shared" si="17"/>
        <v>8.6154310844499429E-7</v>
      </c>
      <c r="X18" s="34">
        <v>-8</v>
      </c>
      <c r="Y18" s="33">
        <f t="shared" si="2"/>
        <v>-60.647229871754497</v>
      </c>
      <c r="Z18" s="97">
        <f t="shared" si="3"/>
        <v>8.6154310844499429E-7</v>
      </c>
    </row>
    <row r="19" spans="2:26" x14ac:dyDescent="0.2">
      <c r="B19" s="13">
        <v>1250</v>
      </c>
      <c r="C19" s="33">
        <f>'3º Alta Frec'!J19</f>
        <v>51.729482260745151</v>
      </c>
      <c r="D19" s="33">
        <f>'3º Alta Frec'!T19</f>
        <v>50.587443810897341</v>
      </c>
      <c r="E19" s="34">
        <f t="shared" si="0"/>
        <v>2</v>
      </c>
      <c r="F19" s="112">
        <f t="shared" si="5"/>
        <v>51.121031315311505</v>
      </c>
      <c r="G19" s="13">
        <v>56</v>
      </c>
      <c r="H19" s="18">
        <f t="shared" si="10"/>
        <v>52</v>
      </c>
      <c r="I19" s="18">
        <f t="shared" si="11"/>
        <v>51</v>
      </c>
      <c r="J19" s="18">
        <f t="shared" si="12"/>
        <v>50</v>
      </c>
      <c r="K19" s="79">
        <f t="shared" si="6"/>
        <v>0</v>
      </c>
      <c r="L19" s="33">
        <f t="shared" si="7"/>
        <v>0</v>
      </c>
      <c r="M19" s="98">
        <f t="shared" si="8"/>
        <v>0.12103131531150524</v>
      </c>
      <c r="N19" s="66">
        <f t="shared" si="9"/>
        <v>1.1210313153115052</v>
      </c>
      <c r="O19" s="99">
        <v>-9</v>
      </c>
      <c r="P19" s="33">
        <f t="shared" si="13"/>
        <v>-60.121031315311505</v>
      </c>
      <c r="Q19" s="97">
        <f t="shared" si="14"/>
        <v>9.725162537688861E-7</v>
      </c>
      <c r="R19" s="34">
        <v>-10</v>
      </c>
      <c r="S19" s="33">
        <f t="shared" si="15"/>
        <v>-61.121031315311505</v>
      </c>
      <c r="T19" s="97">
        <f t="shared" si="4"/>
        <v>7.7249711909690877E-7</v>
      </c>
      <c r="U19" s="34">
        <v>-9</v>
      </c>
      <c r="V19" s="33">
        <f t="shared" si="16"/>
        <v>-60.121031315311505</v>
      </c>
      <c r="W19" s="97">
        <f t="shared" si="17"/>
        <v>9.725162537688861E-7</v>
      </c>
      <c r="X19" s="34">
        <v>-9</v>
      </c>
      <c r="Y19" s="33">
        <f t="shared" si="2"/>
        <v>-60.121031315311505</v>
      </c>
      <c r="Z19" s="97">
        <f t="shared" si="3"/>
        <v>9.725162537688861E-7</v>
      </c>
    </row>
    <row r="20" spans="2:26" x14ac:dyDescent="0.2">
      <c r="B20" s="13">
        <v>1600</v>
      </c>
      <c r="C20" s="33">
        <f>'3º Alta Frec'!J20</f>
        <v>52.860013457912039</v>
      </c>
      <c r="D20" s="33">
        <f>'3º Alta Frec'!T20</f>
        <v>51.403417234114364</v>
      </c>
      <c r="E20" s="34">
        <f t="shared" si="0"/>
        <v>2</v>
      </c>
      <c r="F20" s="112">
        <f t="shared" si="5"/>
        <v>52.070932794333203</v>
      </c>
      <c r="G20" s="13">
        <v>56</v>
      </c>
      <c r="H20" s="18">
        <f t="shared" si="10"/>
        <v>52</v>
      </c>
      <c r="I20" s="18">
        <f t="shared" si="11"/>
        <v>51</v>
      </c>
      <c r="J20" s="18">
        <f t="shared" si="12"/>
        <v>50</v>
      </c>
      <c r="K20" s="79">
        <f t="shared" si="6"/>
        <v>0</v>
      </c>
      <c r="L20" s="33">
        <f t="shared" si="7"/>
        <v>7.0932794333202764E-2</v>
      </c>
      <c r="M20" s="98">
        <f t="shared" si="8"/>
        <v>1.0709327943332028</v>
      </c>
      <c r="N20" s="66">
        <f t="shared" si="9"/>
        <v>2.0709327943332028</v>
      </c>
      <c r="O20" s="99">
        <v>-9</v>
      </c>
      <c r="P20" s="33">
        <f t="shared" si="13"/>
        <v>-61.070932794333203</v>
      </c>
      <c r="Q20" s="97">
        <f t="shared" si="14"/>
        <v>7.8145994160053038E-7</v>
      </c>
      <c r="R20" s="34">
        <v>-10</v>
      </c>
      <c r="S20" s="33">
        <f t="shared" si="15"/>
        <v>-62.070932794333203</v>
      </c>
      <c r="T20" s="97">
        <f t="shared" si="4"/>
        <v>6.2073569591928892E-7</v>
      </c>
      <c r="U20" s="34">
        <v>-10</v>
      </c>
      <c r="V20" s="33">
        <f t="shared" si="16"/>
        <v>-62.070932794333203</v>
      </c>
      <c r="W20" s="97">
        <f t="shared" si="17"/>
        <v>6.2073569591928892E-7</v>
      </c>
      <c r="X20" s="34">
        <v>-10</v>
      </c>
      <c r="Y20" s="33">
        <f t="shared" si="2"/>
        <v>-62.070932794333203</v>
      </c>
      <c r="Z20" s="97">
        <f t="shared" si="3"/>
        <v>6.2073569591928892E-7</v>
      </c>
    </row>
    <row r="21" spans="2:26" x14ac:dyDescent="0.2">
      <c r="B21" s="13">
        <v>2000</v>
      </c>
      <c r="C21" s="33">
        <f>'3º Alta Frec'!J21</f>
        <v>52.183460950651245</v>
      </c>
      <c r="D21" s="33">
        <f>'3º Alta Frec'!T21</f>
        <v>50.635299513868155</v>
      </c>
      <c r="E21" s="34">
        <f t="shared" si="0"/>
        <v>2</v>
      </c>
      <c r="F21" s="112">
        <f t="shared" si="5"/>
        <v>51.340756874922626</v>
      </c>
      <c r="G21" s="13">
        <v>56</v>
      </c>
      <c r="H21" s="18">
        <f t="shared" si="10"/>
        <v>52</v>
      </c>
      <c r="I21" s="18">
        <f t="shared" si="11"/>
        <v>51</v>
      </c>
      <c r="J21" s="18">
        <f t="shared" si="12"/>
        <v>50</v>
      </c>
      <c r="K21" s="79">
        <f t="shared" si="6"/>
        <v>0</v>
      </c>
      <c r="L21" s="33">
        <f t="shared" si="7"/>
        <v>0</v>
      </c>
      <c r="M21" s="98">
        <f t="shared" si="8"/>
        <v>0.34075687492262574</v>
      </c>
      <c r="N21" s="66">
        <f t="shared" si="9"/>
        <v>1.3407568749226257</v>
      </c>
      <c r="O21" s="99">
        <v>-9</v>
      </c>
      <c r="P21" s="33">
        <f t="shared" si="13"/>
        <v>-60.340756874922626</v>
      </c>
      <c r="Q21" s="97">
        <f t="shared" si="14"/>
        <v>9.2453703445682708E-7</v>
      </c>
      <c r="R21" s="34">
        <v>-10</v>
      </c>
      <c r="S21" s="33">
        <f t="shared" si="15"/>
        <v>-61.340756874922626</v>
      </c>
      <c r="T21" s="97">
        <f t="shared" si="4"/>
        <v>7.3438587051731309E-7</v>
      </c>
      <c r="U21" s="34">
        <v>-11</v>
      </c>
      <c r="V21" s="33">
        <f t="shared" si="16"/>
        <v>-62.340756874922626</v>
      </c>
      <c r="W21" s="97">
        <f t="shared" si="17"/>
        <v>5.8334343213447155E-7</v>
      </c>
      <c r="X21" s="34">
        <v>-11</v>
      </c>
      <c r="Y21" s="33">
        <f t="shared" si="2"/>
        <v>-62.340756874922626</v>
      </c>
      <c r="Z21" s="97">
        <f t="shared" si="3"/>
        <v>5.8334343213447155E-7</v>
      </c>
    </row>
    <row r="22" spans="2:26" x14ac:dyDescent="0.2">
      <c r="B22" s="13">
        <v>2500</v>
      </c>
      <c r="C22" s="33">
        <f>'3º Alta Frec'!J22</f>
        <v>47.597262388544451</v>
      </c>
      <c r="D22" s="33">
        <f>'3º Alta Frec'!T22</f>
        <v>45.960719566830868</v>
      </c>
      <c r="E22" s="34">
        <f t="shared" si="0"/>
        <v>2</v>
      </c>
      <c r="F22" s="112">
        <f t="shared" si="5"/>
        <v>46.702355924532348</v>
      </c>
      <c r="G22" s="13">
        <v>56</v>
      </c>
      <c r="H22" s="18">
        <f t="shared" si="10"/>
        <v>52</v>
      </c>
      <c r="I22" s="18">
        <f t="shared" si="11"/>
        <v>51</v>
      </c>
      <c r="J22" s="18">
        <f t="shared" si="12"/>
        <v>50</v>
      </c>
      <c r="K22" s="79">
        <f t="shared" si="6"/>
        <v>0</v>
      </c>
      <c r="L22" s="33">
        <f t="shared" si="7"/>
        <v>0</v>
      </c>
      <c r="M22" s="98">
        <f t="shared" si="8"/>
        <v>0</v>
      </c>
      <c r="N22" s="66">
        <f t="shared" si="9"/>
        <v>0</v>
      </c>
      <c r="O22" s="99">
        <v>-9</v>
      </c>
      <c r="P22" s="33">
        <f t="shared" si="13"/>
        <v>-55.702355924532348</v>
      </c>
      <c r="Q22" s="97">
        <f t="shared" si="14"/>
        <v>2.6900751184994916E-6</v>
      </c>
      <c r="R22" s="34">
        <v>-10</v>
      </c>
      <c r="S22" s="33">
        <f t="shared" si="15"/>
        <v>-56.702355924532348</v>
      </c>
      <c r="T22" s="97">
        <f t="shared" si="4"/>
        <v>2.1368026201534152E-6</v>
      </c>
      <c r="U22" s="34">
        <v>-13</v>
      </c>
      <c r="V22" s="33">
        <f t="shared" si="16"/>
        <v>-59.702355924532348</v>
      </c>
      <c r="W22" s="97">
        <f t="shared" si="17"/>
        <v>1.0709381940021966E-6</v>
      </c>
      <c r="X22" s="34">
        <v>-13</v>
      </c>
      <c r="Y22" s="33">
        <f t="shared" si="2"/>
        <v>-59.702355924532348</v>
      </c>
      <c r="Z22" s="97">
        <f t="shared" si="3"/>
        <v>1.0709381940021966E-6</v>
      </c>
    </row>
    <row r="23" spans="2:26" x14ac:dyDescent="0.2">
      <c r="B23" s="13">
        <v>3150</v>
      </c>
      <c r="C23" s="33">
        <f>'3º Alta Frec'!J23</f>
        <v>43.373805439232356</v>
      </c>
      <c r="D23" s="33">
        <f>'3º Alta Frec'!T23</f>
        <v>41.578625229102045</v>
      </c>
      <c r="E23" s="34">
        <f t="shared" si="0"/>
        <v>2</v>
      </c>
      <c r="F23" s="112">
        <f t="shared" si="5"/>
        <v>42.384112308277004</v>
      </c>
      <c r="G23" s="13">
        <v>56</v>
      </c>
      <c r="H23" s="18">
        <f t="shared" si="10"/>
        <v>52</v>
      </c>
      <c r="I23" s="18">
        <f t="shared" si="11"/>
        <v>51</v>
      </c>
      <c r="J23" s="18">
        <f t="shared" si="12"/>
        <v>50</v>
      </c>
      <c r="K23" s="79">
        <f t="shared" si="6"/>
        <v>0</v>
      </c>
      <c r="L23" s="33">
        <f t="shared" si="7"/>
        <v>0</v>
      </c>
      <c r="M23" s="98">
        <f t="shared" si="8"/>
        <v>0</v>
      </c>
      <c r="N23" s="66">
        <f t="shared" si="9"/>
        <v>0</v>
      </c>
      <c r="O23" s="99">
        <v>-9</v>
      </c>
      <c r="P23" s="33">
        <f t="shared" si="13"/>
        <v>-51.384112308277004</v>
      </c>
      <c r="Q23" s="97">
        <f t="shared" si="14"/>
        <v>7.2709100038948226E-6</v>
      </c>
      <c r="R23" s="34">
        <v>-10</v>
      </c>
      <c r="S23" s="33">
        <f t="shared" si="15"/>
        <v>-52.384112308277004</v>
      </c>
      <c r="T23" s="97">
        <f t="shared" si="4"/>
        <v>5.7754891082328992E-6</v>
      </c>
      <c r="U23" s="34">
        <v>-15</v>
      </c>
      <c r="V23" s="33">
        <f t="shared" si="16"/>
        <v>-57.384112308277004</v>
      </c>
      <c r="W23" s="97">
        <f t="shared" si="17"/>
        <v>1.8263700183510681E-6</v>
      </c>
      <c r="X23" s="34">
        <v>-15</v>
      </c>
      <c r="Y23" s="33">
        <f t="shared" si="2"/>
        <v>-57.384112308277004</v>
      </c>
      <c r="Z23" s="97">
        <f t="shared" si="3"/>
        <v>1.8263700183510681E-6</v>
      </c>
    </row>
    <row r="24" spans="2:26" x14ac:dyDescent="0.2">
      <c r="B24" s="13">
        <v>4000</v>
      </c>
      <c r="C24" s="33">
        <f>'3º Alta Frec'!J24</f>
        <v>44.548731169622066</v>
      </c>
      <c r="D24" s="33">
        <f>'3º Alta Frec'!T24</f>
        <v>43.504811654783119</v>
      </c>
      <c r="E24" s="34">
        <f t="shared" si="0"/>
        <v>2</v>
      </c>
      <c r="F24" s="112">
        <f t="shared" si="5"/>
        <v>43.995480591193555</v>
      </c>
      <c r="G24" s="13"/>
      <c r="H24" s="18"/>
      <c r="I24" s="18"/>
      <c r="J24" s="18"/>
      <c r="K24" s="13"/>
      <c r="L24" s="18"/>
      <c r="M24" s="95"/>
      <c r="N24" s="96"/>
      <c r="O24" s="99"/>
      <c r="P24" s="18"/>
      <c r="Q24" s="97"/>
      <c r="R24" s="34">
        <v>-10</v>
      </c>
      <c r="S24" s="33">
        <f t="shared" si="15"/>
        <v>-53.995480591193555</v>
      </c>
      <c r="T24" s="97">
        <f t="shared" si="4"/>
        <v>3.9852166938088037E-6</v>
      </c>
      <c r="U24" s="18"/>
      <c r="V24" s="18"/>
      <c r="W24" s="97"/>
      <c r="X24" s="34">
        <v>-16</v>
      </c>
      <c r="Y24" s="33">
        <f t="shared" si="2"/>
        <v>-59.995480591193555</v>
      </c>
      <c r="Z24" s="97">
        <f t="shared" si="3"/>
        <v>1.0010411739803826E-6</v>
      </c>
    </row>
    <row r="25" spans="2:26" x14ac:dyDescent="0.2">
      <c r="B25" s="15">
        <v>5000</v>
      </c>
      <c r="C25" s="23">
        <f>'3º Alta Frec'!J25</f>
        <v>49.60969512555063</v>
      </c>
      <c r="D25" s="23">
        <f>'3º Alta Frec'!T25</f>
        <v>48.975219363962388</v>
      </c>
      <c r="E25" s="24">
        <f t="shared" si="0"/>
        <v>2</v>
      </c>
      <c r="F25" s="113">
        <f t="shared" si="5"/>
        <v>49.28088094055412</v>
      </c>
      <c r="G25" s="15"/>
      <c r="H25" s="16"/>
      <c r="I25" s="16"/>
      <c r="J25" s="16"/>
      <c r="K25" s="13"/>
      <c r="L25" s="18"/>
      <c r="M25" s="95"/>
      <c r="N25" s="96"/>
      <c r="O25" s="13"/>
      <c r="P25" s="18"/>
      <c r="Q25" s="97"/>
      <c r="R25" s="34">
        <v>-10</v>
      </c>
      <c r="S25" s="33">
        <f t="shared" si="15"/>
        <v>-59.28088094055412</v>
      </c>
      <c r="T25" s="97">
        <f t="shared" si="4"/>
        <v>1.1800812389042626E-6</v>
      </c>
      <c r="U25" s="18"/>
      <c r="V25" s="18"/>
      <c r="W25" s="97"/>
      <c r="X25" s="34">
        <v>-18</v>
      </c>
      <c r="Y25" s="33">
        <f t="shared" si="2"/>
        <v>-67.280880940554113</v>
      </c>
      <c r="Z25" s="97">
        <f t="shared" si="3"/>
        <v>1.870302722090447E-7</v>
      </c>
    </row>
    <row r="26" spans="2:26" x14ac:dyDescent="0.2">
      <c r="K26" s="80">
        <f>SUM(K8:K23)</f>
        <v>5.6844188405938567</v>
      </c>
      <c r="L26" s="23">
        <f t="shared" ref="L26:N26" si="18">SUM(L8:L23)</f>
        <v>22.370369719232002</v>
      </c>
      <c r="M26" s="102">
        <f t="shared" si="18"/>
        <v>31.459270479949069</v>
      </c>
      <c r="N26" s="59">
        <f t="shared" si="18"/>
        <v>42.459270479949069</v>
      </c>
      <c r="O26" s="79" t="s">
        <v>127</v>
      </c>
      <c r="P26" s="33">
        <f>52-5</f>
        <v>47</v>
      </c>
      <c r="Q26" s="103">
        <f>-10*LOG10(SUM(Q5:Q25))</f>
        <v>46.263823445582901</v>
      </c>
      <c r="R26" s="34"/>
      <c r="S26" s="33"/>
      <c r="T26" s="103">
        <f>-10*LOG10(SUM(T5:T25))</f>
        <v>45.844287691501435</v>
      </c>
      <c r="U26" s="33"/>
      <c r="V26" s="33"/>
      <c r="W26" s="104">
        <f>-10*LOG10(SUM(W5:W25))</f>
        <v>45.472500262701672</v>
      </c>
      <c r="X26" s="34"/>
      <c r="Y26" s="33"/>
      <c r="Z26" s="103">
        <f>-10*LOG10(SUM(Z5:Z25))</f>
        <v>40.825548563709248</v>
      </c>
    </row>
    <row r="27" spans="2:26" x14ac:dyDescent="0.2">
      <c r="O27" s="15"/>
      <c r="P27" s="16"/>
      <c r="Q27" s="114">
        <f>ROUND(Q26,0)-P26</f>
        <v>-1</v>
      </c>
      <c r="R27" s="16"/>
      <c r="S27" s="16"/>
      <c r="T27" s="114">
        <f>ROUND(T26,0)-P26</f>
        <v>-1</v>
      </c>
      <c r="U27" s="16"/>
      <c r="V27" s="16"/>
      <c r="W27" s="114">
        <f>ROUND(W26,0)-P26</f>
        <v>-2</v>
      </c>
      <c r="X27" s="16"/>
      <c r="Y27" s="16"/>
      <c r="Z27" s="114">
        <f>ROUND(Z26,0)-P26</f>
        <v>-6</v>
      </c>
    </row>
    <row r="28" spans="2:26" x14ac:dyDescent="0.2">
      <c r="O28" s="18"/>
      <c r="P28" s="18"/>
      <c r="Q28" s="34"/>
      <c r="R28" s="18"/>
      <c r="S28" s="18"/>
      <c r="T28" s="34"/>
      <c r="U28" s="18"/>
      <c r="V28" s="18"/>
      <c r="W28" s="34"/>
      <c r="X28" s="18"/>
      <c r="Y28" s="18"/>
      <c r="Z28" s="34"/>
    </row>
    <row r="29" spans="2:26" x14ac:dyDescent="0.2">
      <c r="O29" s="18"/>
      <c r="P29" s="18"/>
      <c r="Q29" s="34"/>
      <c r="R29" s="18"/>
      <c r="S29" s="18"/>
      <c r="T29" s="34"/>
      <c r="U29" s="18"/>
      <c r="V29" s="18"/>
      <c r="W29" s="34"/>
      <c r="X29" s="18"/>
      <c r="Y29" s="18"/>
      <c r="Z29" s="34"/>
    </row>
    <row r="30" spans="2:26" x14ac:dyDescent="0.2">
      <c r="D30" s="2" t="s">
        <v>93</v>
      </c>
      <c r="O30" s="18"/>
      <c r="P30" s="18"/>
      <c r="Q30" s="34"/>
      <c r="R30" s="18"/>
      <c r="S30" s="18"/>
      <c r="T30" s="34"/>
      <c r="U30" s="18"/>
      <c r="V30" s="18"/>
      <c r="W30" s="34"/>
      <c r="X30" s="18"/>
      <c r="Y30" s="18"/>
      <c r="Z30" s="34"/>
    </row>
    <row r="31" spans="2:26" x14ac:dyDescent="0.2">
      <c r="O31" s="18"/>
      <c r="P31" s="18"/>
      <c r="Q31" s="34"/>
      <c r="R31" s="18"/>
      <c r="S31" s="18"/>
      <c r="T31" s="34"/>
      <c r="U31" s="18"/>
      <c r="V31" s="18"/>
      <c r="W31" s="34"/>
      <c r="X31" s="18"/>
      <c r="Y31" s="18"/>
      <c r="Z31" s="34"/>
    </row>
    <row r="32" spans="2:26" x14ac:dyDescent="0.2">
      <c r="F32" s="172" t="s">
        <v>43</v>
      </c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4"/>
    </row>
    <row r="33" spans="2:26" x14ac:dyDescent="0.2">
      <c r="B33" s="47" t="s">
        <v>43</v>
      </c>
      <c r="C33" s="48"/>
      <c r="D33" s="48"/>
      <c r="E33" s="48"/>
      <c r="F33" s="184"/>
      <c r="G33" s="162" t="s">
        <v>96</v>
      </c>
      <c r="H33" s="163"/>
      <c r="I33" s="163"/>
      <c r="J33" s="163"/>
      <c r="K33" s="186" t="s">
        <v>95</v>
      </c>
      <c r="L33" s="187"/>
      <c r="M33" s="187"/>
      <c r="N33" s="188"/>
      <c r="O33" s="189" t="s">
        <v>99</v>
      </c>
      <c r="P33" s="190"/>
      <c r="Q33" s="191"/>
      <c r="R33" s="192" t="s">
        <v>97</v>
      </c>
      <c r="S33" s="192"/>
      <c r="T33" s="193"/>
      <c r="U33" s="190" t="s">
        <v>100</v>
      </c>
      <c r="V33" s="190"/>
      <c r="W33" s="191"/>
      <c r="X33" s="192" t="s">
        <v>98</v>
      </c>
      <c r="Y33" s="192"/>
      <c r="Z33" s="193"/>
    </row>
    <row r="34" spans="2:26" ht="31" customHeight="1" x14ac:dyDescent="0.2">
      <c r="B34" s="28"/>
      <c r="C34" s="29"/>
      <c r="D34" s="29"/>
      <c r="E34" s="29" t="s">
        <v>50</v>
      </c>
      <c r="F34" s="185"/>
      <c r="G34" s="15" t="s">
        <v>94</v>
      </c>
      <c r="H34" s="16" t="s">
        <v>121</v>
      </c>
      <c r="I34" s="107" t="s">
        <v>115</v>
      </c>
      <c r="J34" s="16" t="s">
        <v>141</v>
      </c>
      <c r="K34" s="15" t="s">
        <v>94</v>
      </c>
      <c r="L34" s="16" t="s">
        <v>121</v>
      </c>
      <c r="M34" s="107" t="s">
        <v>115</v>
      </c>
      <c r="N34" s="16" t="s">
        <v>141</v>
      </c>
      <c r="O34" s="142" t="s">
        <v>126</v>
      </c>
      <c r="P34" s="143"/>
      <c r="Q34" s="145"/>
      <c r="R34" s="144" t="s">
        <v>126</v>
      </c>
      <c r="S34" s="144"/>
      <c r="T34" s="145"/>
      <c r="U34" s="144" t="s">
        <v>126</v>
      </c>
      <c r="V34" s="143"/>
      <c r="W34" s="145"/>
      <c r="X34" s="144" t="s">
        <v>126</v>
      </c>
      <c r="Y34" s="144"/>
      <c r="Z34" s="145"/>
    </row>
    <row r="35" spans="2:26" x14ac:dyDescent="0.2">
      <c r="B35" s="13">
        <v>50</v>
      </c>
      <c r="C35" s="33">
        <f>'3º Alta Frec'!J31</f>
        <v>11.488670616517417</v>
      </c>
      <c r="D35" s="33">
        <f>'3º Alta Frec'!T31</f>
        <v>19.923282190068214</v>
      </c>
      <c r="E35" s="34">
        <f t="shared" ref="E35:E55" si="19">COUNT(C35:D35)</f>
        <v>2</v>
      </c>
      <c r="F35" s="111">
        <v>9.848416742700703</v>
      </c>
      <c r="G35" s="13"/>
      <c r="H35" s="18"/>
      <c r="I35" s="18"/>
      <c r="J35" s="18"/>
      <c r="K35" s="13"/>
      <c r="L35" s="18"/>
      <c r="M35" s="95"/>
      <c r="N35" s="96"/>
      <c r="O35" s="13"/>
      <c r="P35" s="18"/>
      <c r="Q35" s="97"/>
      <c r="R35" s="34">
        <v>-41</v>
      </c>
      <c r="S35" s="33">
        <f>R35-F35</f>
        <v>-50.848416742700707</v>
      </c>
      <c r="T35" s="97">
        <f>10^(S35/10)</f>
        <v>8.2254246011170886E-6</v>
      </c>
      <c r="U35" s="18"/>
      <c r="V35" s="18"/>
      <c r="W35" s="97"/>
      <c r="X35" s="34">
        <v>-25</v>
      </c>
      <c r="Y35" s="33">
        <f t="shared" ref="Y35:Y37" si="20">X35-F35</f>
        <v>-34.848416742700707</v>
      </c>
      <c r="Z35" s="97">
        <f t="shared" ref="Z35:Z55" si="21">10^(Y35/10)</f>
        <v>3.2746005145518556E-4</v>
      </c>
    </row>
    <row r="36" spans="2:26" x14ac:dyDescent="0.2">
      <c r="B36" s="13">
        <v>63</v>
      </c>
      <c r="C36" s="33">
        <f>'3º Alta Frec'!J32</f>
        <v>8.3519583772817452</v>
      </c>
      <c r="D36" s="33">
        <f>'3º Alta Frec'!T32</f>
        <v>30.933429656351464</v>
      </c>
      <c r="E36" s="34">
        <f t="shared" si="19"/>
        <v>2</v>
      </c>
      <c r="F36" s="112">
        <v>14.522294395841104</v>
      </c>
      <c r="G36" s="13"/>
      <c r="H36" s="18"/>
      <c r="I36" s="18"/>
      <c r="J36" s="18"/>
      <c r="K36" s="13"/>
      <c r="L36" s="18"/>
      <c r="M36" s="95"/>
      <c r="N36" s="96"/>
      <c r="O36" s="13"/>
      <c r="P36" s="18"/>
      <c r="Q36" s="97"/>
      <c r="R36" s="34">
        <v>-37</v>
      </c>
      <c r="S36" s="33">
        <f t="shared" ref="S36:S37" si="22">R36-F36</f>
        <v>-51.522294395841101</v>
      </c>
      <c r="T36" s="97">
        <f t="shared" ref="T36:T55" si="23">10^(S36/10)</f>
        <v>7.0432087500744529E-6</v>
      </c>
      <c r="U36" s="18"/>
      <c r="V36" s="18"/>
      <c r="W36" s="97"/>
      <c r="X36" s="34">
        <v>-23</v>
      </c>
      <c r="Y36" s="33">
        <f>X36-F36</f>
        <v>-37.522294395841101</v>
      </c>
      <c r="Z36" s="97">
        <f t="shared" si="21"/>
        <v>1.7691740493601551E-4</v>
      </c>
    </row>
    <row r="37" spans="2:26" x14ac:dyDescent="0.2">
      <c r="B37" s="13">
        <v>80</v>
      </c>
      <c r="C37" s="33">
        <f>'3º Alta Frec'!J33</f>
        <v>7.1280673184234988</v>
      </c>
      <c r="D37" s="33">
        <f>'3º Alta Frec'!T33</f>
        <v>15.604175735668784</v>
      </c>
      <c r="E37" s="34">
        <f t="shared" si="19"/>
        <v>2</v>
      </c>
      <c r="F37" s="112">
        <v>2.9930467114359223</v>
      </c>
      <c r="G37" s="13"/>
      <c r="H37" s="18"/>
      <c r="I37" s="18"/>
      <c r="J37" s="18"/>
      <c r="K37" s="13"/>
      <c r="L37" s="18"/>
      <c r="M37" s="95"/>
      <c r="N37" s="96"/>
      <c r="O37" s="13"/>
      <c r="P37" s="18"/>
      <c r="Q37" s="97"/>
      <c r="R37" s="34">
        <v>-34</v>
      </c>
      <c r="S37" s="33">
        <f t="shared" si="22"/>
        <v>-36.993046711435923</v>
      </c>
      <c r="T37" s="97">
        <f t="shared" si="23"/>
        <v>1.9984593960655305E-4</v>
      </c>
      <c r="U37" s="18"/>
      <c r="V37" s="18"/>
      <c r="W37" s="97"/>
      <c r="X37" s="34">
        <v>-21</v>
      </c>
      <c r="Y37" s="33">
        <f t="shared" si="20"/>
        <v>-23.993046711435923</v>
      </c>
      <c r="Z37" s="97">
        <f t="shared" si="21"/>
        <v>3.9874507209650238E-3</v>
      </c>
    </row>
    <row r="38" spans="2:26" x14ac:dyDescent="0.2">
      <c r="B38" s="13">
        <v>100</v>
      </c>
      <c r="C38" s="33">
        <f>'3º Alta Frec'!J34</f>
        <v>18.465570717042315</v>
      </c>
      <c r="D38" s="33">
        <f>'3º Alta Frec'!T34</f>
        <v>22.41482934744575</v>
      </c>
      <c r="E38" s="34">
        <f t="shared" si="19"/>
        <v>2</v>
      </c>
      <c r="F38" s="112">
        <f t="shared" ref="F38:F55" si="24">-10*LOG10((10^(-C38/10)+10^(-D38/10))/E38)</f>
        <v>20.005957105015714</v>
      </c>
      <c r="G38" s="13">
        <v>33</v>
      </c>
      <c r="H38" s="18">
        <f>G38-27</f>
        <v>6</v>
      </c>
      <c r="I38" s="18">
        <f>G38-28</f>
        <v>5</v>
      </c>
      <c r="J38" s="18">
        <f>G38-29</f>
        <v>4</v>
      </c>
      <c r="K38" s="79">
        <f t="shared" ref="K38:K53" si="25">IF((F38-G38)&gt;0,F38-G38,0)</f>
        <v>0</v>
      </c>
      <c r="L38" s="33">
        <f t="shared" ref="L38:L53" si="26">IF((F38-H38)&gt;0,F38-H38,0)</f>
        <v>14.005957105015714</v>
      </c>
      <c r="M38" s="98">
        <f t="shared" ref="M38:M53" si="27">IF((F38-I38)&gt;0,F38-I38,0)</f>
        <v>15.005957105015714</v>
      </c>
      <c r="N38" s="66">
        <f t="shared" ref="N38:N53" si="28">IF((F38-J38)&gt;0,F38-J38,0)</f>
        <v>16.005957105015714</v>
      </c>
      <c r="O38" s="99">
        <v>-29</v>
      </c>
      <c r="P38" s="33">
        <f>O38-F38</f>
        <v>-49.00595710501571</v>
      </c>
      <c r="Q38" s="97">
        <f>10^(P38/10)</f>
        <v>1.2571997601733692E-5</v>
      </c>
      <c r="R38" s="34">
        <v>-30</v>
      </c>
      <c r="S38" s="33">
        <f>R38-F38</f>
        <v>-50.00595710501571</v>
      </c>
      <c r="T38" s="97">
        <f>10^(S38/10)</f>
        <v>9.9862926619430339E-6</v>
      </c>
      <c r="U38" s="34">
        <v>-20</v>
      </c>
      <c r="V38" s="33">
        <f>U38-F38</f>
        <v>-40.00595710501571</v>
      </c>
      <c r="W38" s="97">
        <f>10^(V38/10)</f>
        <v>9.9862926619430451E-5</v>
      </c>
      <c r="X38" s="34">
        <v>-20</v>
      </c>
      <c r="Y38" s="33">
        <f>X38-F38</f>
        <v>-40.00595710501571</v>
      </c>
      <c r="Z38" s="97">
        <f>10^(Y38/10)</f>
        <v>9.9862926619430451E-5</v>
      </c>
    </row>
    <row r="39" spans="2:26" x14ac:dyDescent="0.2">
      <c r="B39" s="13">
        <v>125</v>
      </c>
      <c r="C39" s="33">
        <f>'3º Alta Frec'!J35</f>
        <v>14.737214261724407</v>
      </c>
      <c r="D39" s="33">
        <f>'3º Alta Frec'!T35</f>
        <v>22.371978483469849</v>
      </c>
      <c r="E39" s="34">
        <f t="shared" si="19"/>
        <v>2</v>
      </c>
      <c r="F39" s="112">
        <f t="shared" si="24"/>
        <v>17.056776242090919</v>
      </c>
      <c r="G39" s="13">
        <v>36</v>
      </c>
      <c r="H39" s="18">
        <f t="shared" ref="H39:H53" si="29">G39-27</f>
        <v>9</v>
      </c>
      <c r="I39" s="18">
        <f t="shared" ref="I39:I53" si="30">G39-28</f>
        <v>8</v>
      </c>
      <c r="J39" s="18">
        <f t="shared" ref="J39:J53" si="31">G39-29</f>
        <v>7</v>
      </c>
      <c r="K39" s="79">
        <f t="shared" si="25"/>
        <v>0</v>
      </c>
      <c r="L39" s="33">
        <f t="shared" si="26"/>
        <v>8.056776242090919</v>
      </c>
      <c r="M39" s="98">
        <f t="shared" si="27"/>
        <v>9.056776242090919</v>
      </c>
      <c r="N39" s="66">
        <f t="shared" si="28"/>
        <v>10.056776242090919</v>
      </c>
      <c r="O39" s="99">
        <v>-26</v>
      </c>
      <c r="P39" s="33">
        <f t="shared" ref="P39:P53" si="32">O39-F39</f>
        <v>-43.056776242090919</v>
      </c>
      <c r="Q39" s="97">
        <f t="shared" ref="Q39:Q52" si="33">10^(P39/10)</f>
        <v>4.9467774888591375E-5</v>
      </c>
      <c r="R39" s="34">
        <v>-27</v>
      </c>
      <c r="S39" s="33">
        <f t="shared" ref="S39:S55" si="34">R39-F39</f>
        <v>-44.056776242090919</v>
      </c>
      <c r="T39" s="97">
        <f t="shared" si="23"/>
        <v>3.9293650302992897E-5</v>
      </c>
      <c r="U39" s="34">
        <v>-20</v>
      </c>
      <c r="V39" s="33">
        <f>U39-F39</f>
        <v>-37.056776242090919</v>
      </c>
      <c r="W39" s="97">
        <f t="shared" ref="W39:W53" si="35">10^(V39/10)</f>
        <v>1.9693475894474449E-4</v>
      </c>
      <c r="X39" s="34">
        <v>-20</v>
      </c>
      <c r="Y39" s="33">
        <f t="shared" ref="Y39:Y55" si="36">X39-F39</f>
        <v>-37.056776242090919</v>
      </c>
      <c r="Z39" s="97">
        <f t="shared" si="21"/>
        <v>1.9693475894474449E-4</v>
      </c>
    </row>
    <row r="40" spans="2:26" x14ac:dyDescent="0.2">
      <c r="B40" s="13">
        <v>160</v>
      </c>
      <c r="C40" s="33">
        <f>'3º Alta Frec'!J36</f>
        <v>15.040810255060666</v>
      </c>
      <c r="D40" s="33">
        <f>'3º Alta Frec'!T36</f>
        <v>17.643861094809584</v>
      </c>
      <c r="E40" s="34">
        <f t="shared" si="19"/>
        <v>2</v>
      </c>
      <c r="F40" s="112">
        <f t="shared" si="24"/>
        <v>16.150161573648674</v>
      </c>
      <c r="G40" s="13">
        <v>39</v>
      </c>
      <c r="H40" s="18">
        <f t="shared" si="29"/>
        <v>12</v>
      </c>
      <c r="I40" s="18">
        <f t="shared" si="30"/>
        <v>11</v>
      </c>
      <c r="J40" s="18">
        <f t="shared" si="31"/>
        <v>10</v>
      </c>
      <c r="K40" s="79">
        <f t="shared" si="25"/>
        <v>0</v>
      </c>
      <c r="L40" s="33">
        <f t="shared" si="26"/>
        <v>4.1501615736486741</v>
      </c>
      <c r="M40" s="98">
        <f t="shared" si="27"/>
        <v>5.1501615736486741</v>
      </c>
      <c r="N40" s="66">
        <f t="shared" si="28"/>
        <v>6.1501615736486741</v>
      </c>
      <c r="O40" s="99">
        <v>-23</v>
      </c>
      <c r="P40" s="33">
        <f t="shared" si="32"/>
        <v>-39.150161573648674</v>
      </c>
      <c r="Q40" s="97">
        <f t="shared" si="33"/>
        <v>1.2161407548598108E-4</v>
      </c>
      <c r="R40" s="34">
        <v>-24</v>
      </c>
      <c r="S40" s="33">
        <f t="shared" si="34"/>
        <v>-40.150161573648674</v>
      </c>
      <c r="T40" s="97">
        <f t="shared" si="23"/>
        <v>9.6601493898404954E-5</v>
      </c>
      <c r="U40" s="34">
        <v>-18</v>
      </c>
      <c r="V40" s="33">
        <f t="shared" ref="V40:V53" si="37">U40-F40</f>
        <v>-34.150161573648674</v>
      </c>
      <c r="W40" s="97">
        <f t="shared" si="35"/>
        <v>3.8457747407134917E-4</v>
      </c>
      <c r="X40" s="34">
        <v>-18</v>
      </c>
      <c r="Y40" s="33">
        <f t="shared" si="36"/>
        <v>-34.150161573648674</v>
      </c>
      <c r="Z40" s="97">
        <f t="shared" si="21"/>
        <v>3.8457747407134917E-4</v>
      </c>
    </row>
    <row r="41" spans="2:26" x14ac:dyDescent="0.2">
      <c r="B41" s="13">
        <v>200</v>
      </c>
      <c r="C41" s="33">
        <f>'3º Alta Frec'!J37</f>
        <v>15.032840676319189</v>
      </c>
      <c r="D41" s="33">
        <f>'3º Alta Frec'!T37</f>
        <v>11.790490447776655</v>
      </c>
      <c r="E41" s="34">
        <f t="shared" si="19"/>
        <v>2</v>
      </c>
      <c r="F41" s="112">
        <f t="shared" si="24"/>
        <v>13.115858545578995</v>
      </c>
      <c r="G41" s="13">
        <v>42</v>
      </c>
      <c r="H41" s="18">
        <f t="shared" si="29"/>
        <v>15</v>
      </c>
      <c r="I41" s="18">
        <f t="shared" si="30"/>
        <v>14</v>
      </c>
      <c r="J41" s="18">
        <f t="shared" si="31"/>
        <v>13</v>
      </c>
      <c r="K41" s="79">
        <f t="shared" si="25"/>
        <v>0</v>
      </c>
      <c r="L41" s="33">
        <f t="shared" si="26"/>
        <v>0</v>
      </c>
      <c r="M41" s="98">
        <f t="shared" si="27"/>
        <v>0</v>
      </c>
      <c r="N41" s="66">
        <f t="shared" si="28"/>
        <v>0.11585854557899466</v>
      </c>
      <c r="O41" s="99">
        <v>-21</v>
      </c>
      <c r="P41" s="33">
        <f t="shared" si="32"/>
        <v>-34.115858545578995</v>
      </c>
      <c r="Q41" s="97">
        <f t="shared" si="33"/>
        <v>3.8762711192989876E-4</v>
      </c>
      <c r="R41" s="34">
        <v>-22</v>
      </c>
      <c r="S41" s="33">
        <f t="shared" si="34"/>
        <v>-35.115858545578995</v>
      </c>
      <c r="T41" s="97">
        <f t="shared" si="23"/>
        <v>3.0790315955054828E-4</v>
      </c>
      <c r="U41" s="34">
        <v>-16</v>
      </c>
      <c r="V41" s="33">
        <f t="shared" si="37"/>
        <v>-29.115858545578995</v>
      </c>
      <c r="W41" s="97">
        <f t="shared" si="35"/>
        <v>1.2257845565315064E-3</v>
      </c>
      <c r="X41" s="34">
        <v>-16</v>
      </c>
      <c r="Y41" s="33">
        <f t="shared" si="36"/>
        <v>-29.115858545578995</v>
      </c>
      <c r="Z41" s="97">
        <f t="shared" si="21"/>
        <v>1.2257845565315064E-3</v>
      </c>
    </row>
    <row r="42" spans="2:26" x14ac:dyDescent="0.2">
      <c r="B42" s="13">
        <v>250</v>
      </c>
      <c r="C42" s="33">
        <f>'3º Alta Frec'!J38</f>
        <v>17.078698044210451</v>
      </c>
      <c r="D42" s="33">
        <f>'3º Alta Frec'!T38</f>
        <v>9.0941026657737556</v>
      </c>
      <c r="E42" s="34">
        <f t="shared" si="19"/>
        <v>2</v>
      </c>
      <c r="F42" s="112">
        <f t="shared" si="24"/>
        <v>11.463371593569571</v>
      </c>
      <c r="G42" s="100">
        <v>45</v>
      </c>
      <c r="H42" s="18">
        <f t="shared" si="29"/>
        <v>18</v>
      </c>
      <c r="I42" s="18">
        <f t="shared" si="30"/>
        <v>17</v>
      </c>
      <c r="J42" s="18">
        <f t="shared" si="31"/>
        <v>16</v>
      </c>
      <c r="K42" s="79">
        <f t="shared" si="25"/>
        <v>0</v>
      </c>
      <c r="L42" s="33">
        <f t="shared" si="26"/>
        <v>0</v>
      </c>
      <c r="M42" s="98">
        <f t="shared" si="27"/>
        <v>0</v>
      </c>
      <c r="N42" s="66">
        <f t="shared" si="28"/>
        <v>0</v>
      </c>
      <c r="O42" s="99">
        <v>-19</v>
      </c>
      <c r="P42" s="33">
        <f t="shared" si="32"/>
        <v>-30.463371593569569</v>
      </c>
      <c r="Q42" s="97">
        <f t="shared" si="33"/>
        <v>8.9879953827212754E-4</v>
      </c>
      <c r="R42" s="34">
        <v>-20</v>
      </c>
      <c r="S42" s="33">
        <f t="shared" si="34"/>
        <v>-31.463371593569569</v>
      </c>
      <c r="T42" s="97">
        <f t="shared" si="23"/>
        <v>7.1394185060669787E-4</v>
      </c>
      <c r="U42" s="34">
        <v>-15</v>
      </c>
      <c r="V42" s="33">
        <f t="shared" si="37"/>
        <v>-26.463371593569569</v>
      </c>
      <c r="W42" s="97">
        <f t="shared" si="35"/>
        <v>2.2576823648328324E-3</v>
      </c>
      <c r="X42" s="34">
        <v>-15</v>
      </c>
      <c r="Y42" s="33">
        <f t="shared" si="36"/>
        <v>-26.463371593569569</v>
      </c>
      <c r="Z42" s="97">
        <f t="shared" si="21"/>
        <v>2.2576823648328324E-3</v>
      </c>
    </row>
    <row r="43" spans="2:26" x14ac:dyDescent="0.2">
      <c r="B43" s="13">
        <v>315</v>
      </c>
      <c r="C43" s="33">
        <f>'3º Alta Frec'!J39</f>
        <v>16.309284067485915</v>
      </c>
      <c r="D43" s="33">
        <f>'3º Alta Frec'!T39</f>
        <v>15.960064480600959</v>
      </c>
      <c r="E43" s="34">
        <f t="shared" si="19"/>
        <v>2</v>
      </c>
      <c r="F43" s="112">
        <f t="shared" si="24"/>
        <v>16.131165091820495</v>
      </c>
      <c r="G43" s="100">
        <v>48</v>
      </c>
      <c r="H43" s="18">
        <f t="shared" si="29"/>
        <v>21</v>
      </c>
      <c r="I43" s="18">
        <f t="shared" si="30"/>
        <v>20</v>
      </c>
      <c r="J43" s="18">
        <f t="shared" si="31"/>
        <v>19</v>
      </c>
      <c r="K43" s="79">
        <f t="shared" si="25"/>
        <v>0</v>
      </c>
      <c r="L43" s="33">
        <f t="shared" si="26"/>
        <v>0</v>
      </c>
      <c r="M43" s="98">
        <f t="shared" si="27"/>
        <v>0</v>
      </c>
      <c r="N43" s="66">
        <f t="shared" si="28"/>
        <v>0</v>
      </c>
      <c r="O43" s="99">
        <v>-17</v>
      </c>
      <c r="P43" s="33">
        <f t="shared" si="32"/>
        <v>-33.131165091820492</v>
      </c>
      <c r="Q43" s="97">
        <f t="shared" si="33"/>
        <v>4.8627673361064619E-4</v>
      </c>
      <c r="R43" s="34">
        <v>-18</v>
      </c>
      <c r="S43" s="33">
        <f t="shared" si="34"/>
        <v>-34.131165091820492</v>
      </c>
      <c r="T43" s="97">
        <f t="shared" si="23"/>
        <v>3.8626333939643432E-4</v>
      </c>
      <c r="U43" s="34">
        <v>-14</v>
      </c>
      <c r="V43" s="33">
        <f t="shared" si="37"/>
        <v>-30.131165091820495</v>
      </c>
      <c r="W43" s="97">
        <f t="shared" si="35"/>
        <v>9.702496412194822E-4</v>
      </c>
      <c r="X43" s="34">
        <v>-14</v>
      </c>
      <c r="Y43" s="33">
        <f t="shared" si="36"/>
        <v>-30.131165091820495</v>
      </c>
      <c r="Z43" s="97">
        <f t="shared" si="21"/>
        <v>9.702496412194822E-4</v>
      </c>
    </row>
    <row r="44" spans="2:26" x14ac:dyDescent="0.2">
      <c r="B44" s="13">
        <v>400</v>
      </c>
      <c r="C44" s="33">
        <f>'3º Alta Frec'!J40</f>
        <v>24.408425958158087</v>
      </c>
      <c r="D44" s="33">
        <f>'3º Alta Frec'!T40</f>
        <v>18.815425652090038</v>
      </c>
      <c r="E44" s="34">
        <f t="shared" si="19"/>
        <v>2</v>
      </c>
      <c r="F44" s="112">
        <f t="shared" si="24"/>
        <v>20.767671092222059</v>
      </c>
      <c r="G44" s="100">
        <v>51</v>
      </c>
      <c r="H44" s="18">
        <f t="shared" si="29"/>
        <v>24</v>
      </c>
      <c r="I44" s="18">
        <f t="shared" si="30"/>
        <v>23</v>
      </c>
      <c r="J44" s="18">
        <f t="shared" si="31"/>
        <v>22</v>
      </c>
      <c r="K44" s="79">
        <f t="shared" si="25"/>
        <v>0</v>
      </c>
      <c r="L44" s="33">
        <f t="shared" si="26"/>
        <v>0</v>
      </c>
      <c r="M44" s="98">
        <f t="shared" si="27"/>
        <v>0</v>
      </c>
      <c r="N44" s="66">
        <f t="shared" si="28"/>
        <v>0</v>
      </c>
      <c r="O44" s="99">
        <v>-15</v>
      </c>
      <c r="P44" s="33">
        <f t="shared" si="32"/>
        <v>-35.767671092222059</v>
      </c>
      <c r="Q44" s="97">
        <f t="shared" si="33"/>
        <v>2.6499207798888653E-4</v>
      </c>
      <c r="R44" s="34">
        <v>-16</v>
      </c>
      <c r="S44" s="33">
        <f t="shared" si="34"/>
        <v>-36.767671092222059</v>
      </c>
      <c r="T44" s="97">
        <f t="shared" si="23"/>
        <v>2.1049068952483157E-4</v>
      </c>
      <c r="U44" s="34">
        <v>-13</v>
      </c>
      <c r="V44" s="33">
        <f t="shared" si="37"/>
        <v>-33.767671092222059</v>
      </c>
      <c r="W44" s="97">
        <f t="shared" si="35"/>
        <v>4.1998414046071064E-4</v>
      </c>
      <c r="X44" s="34">
        <v>-13</v>
      </c>
      <c r="Y44" s="33">
        <f t="shared" si="36"/>
        <v>-33.767671092222059</v>
      </c>
      <c r="Z44" s="97">
        <f t="shared" si="21"/>
        <v>4.1998414046071064E-4</v>
      </c>
    </row>
    <row r="45" spans="2:26" x14ac:dyDescent="0.2">
      <c r="B45" s="13">
        <v>500</v>
      </c>
      <c r="C45" s="33">
        <f>'3º Alta Frec'!J41</f>
        <v>23.469410744140475</v>
      </c>
      <c r="D45" s="33">
        <f>'3º Alta Frec'!T41</f>
        <v>20.555136890962828</v>
      </c>
      <c r="E45" s="34">
        <f t="shared" si="19"/>
        <v>2</v>
      </c>
      <c r="F45" s="112">
        <f t="shared" si="24"/>
        <v>21.772279066582016</v>
      </c>
      <c r="G45" s="101">
        <v>52</v>
      </c>
      <c r="H45" s="18">
        <f t="shared" si="29"/>
        <v>25</v>
      </c>
      <c r="I45" s="18">
        <f t="shared" si="30"/>
        <v>24</v>
      </c>
      <c r="J45" s="18">
        <f t="shared" si="31"/>
        <v>23</v>
      </c>
      <c r="K45" s="79">
        <f t="shared" si="25"/>
        <v>0</v>
      </c>
      <c r="L45" s="33">
        <f t="shared" si="26"/>
        <v>0</v>
      </c>
      <c r="M45" s="98">
        <f t="shared" si="27"/>
        <v>0</v>
      </c>
      <c r="N45" s="66">
        <f t="shared" si="28"/>
        <v>0</v>
      </c>
      <c r="O45" s="99">
        <v>-13</v>
      </c>
      <c r="P45" s="33">
        <f t="shared" si="32"/>
        <v>-34.772279066582016</v>
      </c>
      <c r="Q45" s="97">
        <f t="shared" si="33"/>
        <v>3.3325148499576432E-4</v>
      </c>
      <c r="R45" s="34">
        <v>-14</v>
      </c>
      <c r="S45" s="33">
        <f t="shared" si="34"/>
        <v>-35.772279066582016</v>
      </c>
      <c r="T45" s="97">
        <f t="shared" si="23"/>
        <v>2.6471106379593066E-4</v>
      </c>
      <c r="U45" s="34">
        <v>-12</v>
      </c>
      <c r="V45" s="33">
        <f t="shared" si="37"/>
        <v>-33.772279066582016</v>
      </c>
      <c r="W45" s="97">
        <f t="shared" si="35"/>
        <v>4.1953876297931033E-4</v>
      </c>
      <c r="X45" s="34">
        <v>-12</v>
      </c>
      <c r="Y45" s="33">
        <f t="shared" si="36"/>
        <v>-33.772279066582016</v>
      </c>
      <c r="Z45" s="97">
        <f t="shared" si="21"/>
        <v>4.1953876297931033E-4</v>
      </c>
    </row>
    <row r="46" spans="2:26" x14ac:dyDescent="0.2">
      <c r="B46" s="13">
        <v>630</v>
      </c>
      <c r="C46" s="33">
        <f>'3º Alta Frec'!J42</f>
        <v>23.563776368686092</v>
      </c>
      <c r="D46" s="33">
        <f>'3º Alta Frec'!T42</f>
        <v>22.502199754358543</v>
      </c>
      <c r="E46" s="34">
        <f t="shared" si="19"/>
        <v>2</v>
      </c>
      <c r="F46" s="112">
        <f t="shared" si="24"/>
        <v>23.00063241110476</v>
      </c>
      <c r="G46" s="13">
        <v>53</v>
      </c>
      <c r="H46" s="18">
        <f t="shared" si="29"/>
        <v>26</v>
      </c>
      <c r="I46" s="18">
        <f t="shared" si="30"/>
        <v>25</v>
      </c>
      <c r="J46" s="18">
        <f t="shared" si="31"/>
        <v>24</v>
      </c>
      <c r="K46" s="79">
        <f t="shared" si="25"/>
        <v>0</v>
      </c>
      <c r="L46" s="33">
        <f t="shared" si="26"/>
        <v>0</v>
      </c>
      <c r="M46" s="98">
        <f t="shared" si="27"/>
        <v>0</v>
      </c>
      <c r="N46" s="66">
        <f t="shared" si="28"/>
        <v>0</v>
      </c>
      <c r="O46" s="99">
        <v>-12</v>
      </c>
      <c r="P46" s="33">
        <f t="shared" si="32"/>
        <v>-35.00063241110476</v>
      </c>
      <c r="Q46" s="97">
        <f t="shared" si="33"/>
        <v>3.1618172090249245E-4</v>
      </c>
      <c r="R46" s="34">
        <v>-13</v>
      </c>
      <c r="S46" s="33">
        <f t="shared" si="34"/>
        <v>-36.00063241110476</v>
      </c>
      <c r="T46" s="97">
        <f t="shared" si="23"/>
        <v>2.511520682165621E-4</v>
      </c>
      <c r="U46" s="34">
        <v>-11</v>
      </c>
      <c r="V46" s="33">
        <f t="shared" si="37"/>
        <v>-34.00063241110476</v>
      </c>
      <c r="W46" s="97">
        <f t="shared" si="35"/>
        <v>3.980492031889587E-4</v>
      </c>
      <c r="X46" s="34">
        <v>-11</v>
      </c>
      <c r="Y46" s="33">
        <f t="shared" si="36"/>
        <v>-34.00063241110476</v>
      </c>
      <c r="Z46" s="97">
        <f t="shared" si="21"/>
        <v>3.980492031889587E-4</v>
      </c>
    </row>
    <row r="47" spans="2:26" x14ac:dyDescent="0.2">
      <c r="B47" s="13">
        <v>800</v>
      </c>
      <c r="C47" s="33">
        <f>'3º Alta Frec'!J43</f>
        <v>26.224151489977721</v>
      </c>
      <c r="D47" s="33">
        <f>'3º Alta Frec'!T43</f>
        <v>22.631153365456207</v>
      </c>
      <c r="E47" s="34">
        <f t="shared" si="19"/>
        <v>2</v>
      </c>
      <c r="F47" s="112">
        <f t="shared" si="24"/>
        <v>24.066220291017775</v>
      </c>
      <c r="G47" s="13">
        <v>54</v>
      </c>
      <c r="H47" s="18">
        <f t="shared" si="29"/>
        <v>27</v>
      </c>
      <c r="I47" s="18">
        <f t="shared" si="30"/>
        <v>26</v>
      </c>
      <c r="J47" s="18">
        <f t="shared" si="31"/>
        <v>25</v>
      </c>
      <c r="K47" s="79">
        <f t="shared" si="25"/>
        <v>0</v>
      </c>
      <c r="L47" s="33">
        <f t="shared" si="26"/>
        <v>0</v>
      </c>
      <c r="M47" s="98">
        <f t="shared" si="27"/>
        <v>0</v>
      </c>
      <c r="N47" s="66">
        <f t="shared" si="28"/>
        <v>0</v>
      </c>
      <c r="O47" s="99">
        <v>-11</v>
      </c>
      <c r="P47" s="33">
        <f t="shared" si="32"/>
        <v>-35.066220291017771</v>
      </c>
      <c r="Q47" s="97">
        <f t="shared" si="33"/>
        <v>3.1144256742470725E-4</v>
      </c>
      <c r="R47" s="34">
        <v>-12</v>
      </c>
      <c r="S47" s="33">
        <f t="shared" si="34"/>
        <v>-36.066220291017771</v>
      </c>
      <c r="T47" s="97">
        <f t="shared" si="23"/>
        <v>2.4738762480046555E-4</v>
      </c>
      <c r="U47" s="34">
        <v>-9</v>
      </c>
      <c r="V47" s="33">
        <f t="shared" si="37"/>
        <v>-33.066220291017771</v>
      </c>
      <c r="W47" s="97">
        <f t="shared" si="35"/>
        <v>4.9360320495403032E-4</v>
      </c>
      <c r="X47" s="34">
        <v>-9</v>
      </c>
      <c r="Y47" s="33">
        <f t="shared" si="36"/>
        <v>-33.066220291017771</v>
      </c>
      <c r="Z47" s="97">
        <f t="shared" si="21"/>
        <v>4.9360320495403032E-4</v>
      </c>
    </row>
    <row r="48" spans="2:26" x14ac:dyDescent="0.2">
      <c r="B48" s="13">
        <v>1000</v>
      </c>
      <c r="C48" s="33">
        <f>'3º Alta Frec'!J44</f>
        <v>26.438408705336052</v>
      </c>
      <c r="D48" s="33">
        <f>'3º Alta Frec'!T44</f>
        <v>21.820293724952954</v>
      </c>
      <c r="E48" s="34">
        <f t="shared" si="19"/>
        <v>2</v>
      </c>
      <c r="F48" s="112">
        <f t="shared" si="24"/>
        <v>23.542422989279864</v>
      </c>
      <c r="G48" s="13">
        <v>55</v>
      </c>
      <c r="H48" s="18">
        <f t="shared" si="29"/>
        <v>28</v>
      </c>
      <c r="I48" s="18">
        <f t="shared" si="30"/>
        <v>27</v>
      </c>
      <c r="J48" s="18">
        <f t="shared" si="31"/>
        <v>26</v>
      </c>
      <c r="K48" s="79">
        <f t="shared" si="25"/>
        <v>0</v>
      </c>
      <c r="L48" s="33">
        <f t="shared" si="26"/>
        <v>0</v>
      </c>
      <c r="M48" s="98">
        <f t="shared" si="27"/>
        <v>0</v>
      </c>
      <c r="N48" s="66">
        <f t="shared" si="28"/>
        <v>0</v>
      </c>
      <c r="O48" s="99">
        <v>-10</v>
      </c>
      <c r="P48" s="33">
        <f t="shared" si="32"/>
        <v>-33.542422989279864</v>
      </c>
      <c r="Q48" s="97">
        <f t="shared" si="33"/>
        <v>4.4234151502684291E-4</v>
      </c>
      <c r="R48" s="34">
        <v>-11</v>
      </c>
      <c r="S48" s="33">
        <f t="shared" si="34"/>
        <v>-34.542422989279864</v>
      </c>
      <c r="T48" s="97">
        <f t="shared" si="23"/>
        <v>3.5136435477653666E-4</v>
      </c>
      <c r="U48" s="34">
        <v>-8</v>
      </c>
      <c r="V48" s="33">
        <f t="shared" si="37"/>
        <v>-31.542422989279864</v>
      </c>
      <c r="W48" s="97">
        <f t="shared" si="35"/>
        <v>7.010640559089791E-4</v>
      </c>
      <c r="X48" s="34">
        <v>-8</v>
      </c>
      <c r="Y48" s="33">
        <f t="shared" si="36"/>
        <v>-31.542422989279864</v>
      </c>
      <c r="Z48" s="97">
        <f t="shared" si="21"/>
        <v>7.010640559089791E-4</v>
      </c>
    </row>
    <row r="49" spans="2:26" x14ac:dyDescent="0.2">
      <c r="B49" s="13">
        <v>1250</v>
      </c>
      <c r="C49" s="33">
        <f>'3º Alta Frec'!J45</f>
        <v>25.254770734439681</v>
      </c>
      <c r="D49" s="33">
        <f>'3º Alta Frec'!T45</f>
        <v>21.924916877757148</v>
      </c>
      <c r="E49" s="34">
        <f t="shared" si="19"/>
        <v>2</v>
      </c>
      <c r="F49" s="112">
        <f t="shared" si="24"/>
        <v>23.278231421794217</v>
      </c>
      <c r="G49" s="13">
        <v>56</v>
      </c>
      <c r="H49" s="18">
        <f t="shared" si="29"/>
        <v>29</v>
      </c>
      <c r="I49" s="18">
        <f t="shared" si="30"/>
        <v>28</v>
      </c>
      <c r="J49" s="18">
        <f t="shared" si="31"/>
        <v>27</v>
      </c>
      <c r="K49" s="79">
        <f t="shared" si="25"/>
        <v>0</v>
      </c>
      <c r="L49" s="33">
        <f t="shared" si="26"/>
        <v>0</v>
      </c>
      <c r="M49" s="98">
        <f t="shared" si="27"/>
        <v>0</v>
      </c>
      <c r="N49" s="66">
        <f t="shared" si="28"/>
        <v>0</v>
      </c>
      <c r="O49" s="99">
        <v>-9</v>
      </c>
      <c r="P49" s="33">
        <f t="shared" si="32"/>
        <v>-32.278231421794217</v>
      </c>
      <c r="Q49" s="97">
        <f t="shared" si="33"/>
        <v>5.9180258498486577E-4</v>
      </c>
      <c r="R49" s="34">
        <v>-10</v>
      </c>
      <c r="S49" s="33">
        <f t="shared" si="34"/>
        <v>-33.278231421794217</v>
      </c>
      <c r="T49" s="97">
        <f t="shared" si="23"/>
        <v>4.7008550263629551E-4</v>
      </c>
      <c r="U49" s="34">
        <v>-9</v>
      </c>
      <c r="V49" s="33">
        <f t="shared" si="37"/>
        <v>-32.278231421794217</v>
      </c>
      <c r="W49" s="97">
        <f t="shared" si="35"/>
        <v>5.9180258498486577E-4</v>
      </c>
      <c r="X49" s="34">
        <v>-9</v>
      </c>
      <c r="Y49" s="33">
        <f t="shared" si="36"/>
        <v>-32.278231421794217</v>
      </c>
      <c r="Z49" s="97">
        <f t="shared" si="21"/>
        <v>5.9180258498486577E-4</v>
      </c>
    </row>
    <row r="50" spans="2:26" x14ac:dyDescent="0.2">
      <c r="B50" s="13">
        <v>1600</v>
      </c>
      <c r="C50" s="33">
        <f>'3º Alta Frec'!J46</f>
        <v>25.612950751989292</v>
      </c>
      <c r="D50" s="33">
        <f>'3º Alta Frec'!T46</f>
        <v>22.208114161762115</v>
      </c>
      <c r="E50" s="34">
        <f t="shared" si="19"/>
        <v>2</v>
      </c>
      <c r="F50" s="112">
        <f t="shared" si="24"/>
        <v>23.58507239531172</v>
      </c>
      <c r="G50" s="13">
        <v>56</v>
      </c>
      <c r="H50" s="18">
        <f t="shared" si="29"/>
        <v>29</v>
      </c>
      <c r="I50" s="18">
        <f t="shared" si="30"/>
        <v>28</v>
      </c>
      <c r="J50" s="18">
        <f t="shared" si="31"/>
        <v>27</v>
      </c>
      <c r="K50" s="79">
        <f t="shared" si="25"/>
        <v>0</v>
      </c>
      <c r="L50" s="33">
        <f t="shared" si="26"/>
        <v>0</v>
      </c>
      <c r="M50" s="98">
        <f t="shared" si="27"/>
        <v>0</v>
      </c>
      <c r="N50" s="66">
        <f t="shared" si="28"/>
        <v>0</v>
      </c>
      <c r="O50" s="99">
        <v>-9</v>
      </c>
      <c r="P50" s="33">
        <f t="shared" si="32"/>
        <v>-32.58507239531172</v>
      </c>
      <c r="Q50" s="97">
        <f t="shared" si="33"/>
        <v>5.514330101172633E-4</v>
      </c>
      <c r="R50" s="34">
        <v>-10</v>
      </c>
      <c r="S50" s="33">
        <f t="shared" si="34"/>
        <v>-33.58507239531172</v>
      </c>
      <c r="T50" s="97">
        <f t="shared" si="23"/>
        <v>4.3801880949514261E-4</v>
      </c>
      <c r="U50" s="34">
        <v>-10</v>
      </c>
      <c r="V50" s="33">
        <f t="shared" si="37"/>
        <v>-33.58507239531172</v>
      </c>
      <c r="W50" s="97">
        <f t="shared" si="35"/>
        <v>4.3801880949514261E-4</v>
      </c>
      <c r="X50" s="34">
        <v>-10</v>
      </c>
      <c r="Y50" s="33">
        <f t="shared" si="36"/>
        <v>-33.58507239531172</v>
      </c>
      <c r="Z50" s="97">
        <f t="shared" si="21"/>
        <v>4.3801880949514261E-4</v>
      </c>
    </row>
    <row r="51" spans="2:26" x14ac:dyDescent="0.2">
      <c r="B51" s="13">
        <v>2000</v>
      </c>
      <c r="C51" s="33">
        <f>'3º Alta Frec'!J47</f>
        <v>22.064970718070068</v>
      </c>
      <c r="D51" s="33">
        <f>'3º Alta Frec'!T47</f>
        <v>20.842874666829754</v>
      </c>
      <c r="E51" s="34">
        <f t="shared" si="19"/>
        <v>2</v>
      </c>
      <c r="F51" s="112">
        <f t="shared" si="24"/>
        <v>21.411076852541914</v>
      </c>
      <c r="G51" s="13">
        <v>56</v>
      </c>
      <c r="H51" s="18">
        <f t="shared" si="29"/>
        <v>29</v>
      </c>
      <c r="I51" s="18">
        <f t="shared" si="30"/>
        <v>28</v>
      </c>
      <c r="J51" s="18">
        <f t="shared" si="31"/>
        <v>27</v>
      </c>
      <c r="K51" s="79">
        <f t="shared" si="25"/>
        <v>0</v>
      </c>
      <c r="L51" s="33">
        <f t="shared" si="26"/>
        <v>0</v>
      </c>
      <c r="M51" s="98">
        <f t="shared" si="27"/>
        <v>0</v>
      </c>
      <c r="N51" s="66">
        <f t="shared" si="28"/>
        <v>0</v>
      </c>
      <c r="O51" s="99">
        <v>-9</v>
      </c>
      <c r="P51" s="33">
        <f t="shared" si="32"/>
        <v>-30.411076852541914</v>
      </c>
      <c r="Q51" s="97">
        <f t="shared" si="33"/>
        <v>9.0968768354621134E-4</v>
      </c>
      <c r="R51" s="34">
        <v>-10</v>
      </c>
      <c r="S51" s="33">
        <f t="shared" si="34"/>
        <v>-31.411076852541914</v>
      </c>
      <c r="T51" s="97">
        <f t="shared" si="23"/>
        <v>7.2259061182168289E-4</v>
      </c>
      <c r="U51" s="34">
        <v>-11</v>
      </c>
      <c r="V51" s="33">
        <f t="shared" si="37"/>
        <v>-32.41107685254191</v>
      </c>
      <c r="W51" s="97">
        <f t="shared" si="35"/>
        <v>5.739741251166565E-4</v>
      </c>
      <c r="X51" s="34">
        <v>-11</v>
      </c>
      <c r="Y51" s="33">
        <f t="shared" si="36"/>
        <v>-32.41107685254191</v>
      </c>
      <c r="Z51" s="97">
        <f t="shared" si="21"/>
        <v>5.739741251166565E-4</v>
      </c>
    </row>
    <row r="52" spans="2:26" x14ac:dyDescent="0.2">
      <c r="B52" s="13">
        <v>2500</v>
      </c>
      <c r="C52" s="33">
        <f>'3º Alta Frec'!J48</f>
        <v>17.979617956758158</v>
      </c>
      <c r="D52" s="33">
        <f>'3º Alta Frec'!T48</f>
        <v>18.940339044203181</v>
      </c>
      <c r="E52" s="34">
        <f t="shared" si="19"/>
        <v>2</v>
      </c>
      <c r="F52" s="112">
        <f t="shared" si="24"/>
        <v>18.433466847462196</v>
      </c>
      <c r="G52" s="13">
        <v>56</v>
      </c>
      <c r="H52" s="18">
        <f t="shared" si="29"/>
        <v>29</v>
      </c>
      <c r="I52" s="18">
        <f t="shared" si="30"/>
        <v>28</v>
      </c>
      <c r="J52" s="18">
        <f t="shared" si="31"/>
        <v>27</v>
      </c>
      <c r="K52" s="79">
        <f t="shared" si="25"/>
        <v>0</v>
      </c>
      <c r="L52" s="33">
        <f t="shared" si="26"/>
        <v>0</v>
      </c>
      <c r="M52" s="98">
        <f t="shared" si="27"/>
        <v>0</v>
      </c>
      <c r="N52" s="66">
        <f t="shared" si="28"/>
        <v>0</v>
      </c>
      <c r="O52" s="99">
        <v>-9</v>
      </c>
      <c r="P52" s="33">
        <f t="shared" si="32"/>
        <v>-27.433466847462196</v>
      </c>
      <c r="Q52" s="97">
        <f t="shared" si="33"/>
        <v>1.8057320867274937E-3</v>
      </c>
      <c r="R52" s="34">
        <v>-10</v>
      </c>
      <c r="S52" s="33">
        <f t="shared" si="34"/>
        <v>-28.433466847462196</v>
      </c>
      <c r="T52" s="97">
        <f t="shared" si="23"/>
        <v>1.4343439808352436E-3</v>
      </c>
      <c r="U52" s="34">
        <v>-13</v>
      </c>
      <c r="V52" s="33">
        <f t="shared" si="37"/>
        <v>-31.433466847462196</v>
      </c>
      <c r="W52" s="97">
        <f t="shared" si="35"/>
        <v>7.1887489182474501E-4</v>
      </c>
      <c r="X52" s="34">
        <v>-13</v>
      </c>
      <c r="Y52" s="33">
        <f t="shared" si="36"/>
        <v>-31.433466847462196</v>
      </c>
      <c r="Z52" s="97">
        <f t="shared" si="21"/>
        <v>7.1887489182474501E-4</v>
      </c>
    </row>
    <row r="53" spans="2:26" x14ac:dyDescent="0.2">
      <c r="B53" s="13">
        <v>3150</v>
      </c>
      <c r="C53" s="33">
        <f>'3º Alta Frec'!J49</f>
        <v>19.666243149619746</v>
      </c>
      <c r="D53" s="33">
        <f>'3º Alta Frec'!T49</f>
        <v>16.256634621642945</v>
      </c>
      <c r="E53" s="34">
        <f t="shared" si="19"/>
        <v>2</v>
      </c>
      <c r="F53" s="112">
        <f t="shared" si="24"/>
        <v>17.635088102825197</v>
      </c>
      <c r="G53" s="13">
        <v>56</v>
      </c>
      <c r="H53" s="18">
        <f t="shared" si="29"/>
        <v>29</v>
      </c>
      <c r="I53" s="18">
        <f t="shared" si="30"/>
        <v>28</v>
      </c>
      <c r="J53" s="18">
        <f t="shared" si="31"/>
        <v>27</v>
      </c>
      <c r="K53" s="79">
        <f t="shared" si="25"/>
        <v>0</v>
      </c>
      <c r="L53" s="33">
        <f t="shared" si="26"/>
        <v>0</v>
      </c>
      <c r="M53" s="98">
        <f t="shared" si="27"/>
        <v>0</v>
      </c>
      <c r="N53" s="66">
        <f t="shared" si="28"/>
        <v>0</v>
      </c>
      <c r="O53" s="99">
        <v>-9</v>
      </c>
      <c r="P53" s="33">
        <f t="shared" si="32"/>
        <v>-26.635088102825197</v>
      </c>
      <c r="Q53" s="97">
        <f>10^(P53/10)</f>
        <v>2.1701571783905374E-3</v>
      </c>
      <c r="R53" s="34">
        <v>-10</v>
      </c>
      <c r="S53" s="33">
        <f t="shared" si="34"/>
        <v>-27.635088102825197</v>
      </c>
      <c r="T53" s="97">
        <f t="shared" si="23"/>
        <v>1.7238171205851832E-3</v>
      </c>
      <c r="U53" s="34">
        <v>-15</v>
      </c>
      <c r="V53" s="33">
        <f t="shared" si="37"/>
        <v>-32.635088102825193</v>
      </c>
      <c r="W53" s="97">
        <f t="shared" si="35"/>
        <v>5.4511883706423079E-4</v>
      </c>
      <c r="X53" s="34">
        <v>-15</v>
      </c>
      <c r="Y53" s="33">
        <f t="shared" si="36"/>
        <v>-32.635088102825193</v>
      </c>
      <c r="Z53" s="97">
        <f t="shared" si="21"/>
        <v>5.4511883706423079E-4</v>
      </c>
    </row>
    <row r="54" spans="2:26" x14ac:dyDescent="0.2">
      <c r="B54" s="13">
        <v>4000</v>
      </c>
      <c r="C54" s="33">
        <f>'3º Alta Frec'!J50</f>
        <v>22.187810432525982</v>
      </c>
      <c r="D54" s="33">
        <f>'3º Alta Frec'!T50</f>
        <v>17.688886911514846</v>
      </c>
      <c r="E54" s="34">
        <f t="shared" si="19"/>
        <v>2</v>
      </c>
      <c r="F54" s="112">
        <f t="shared" si="24"/>
        <v>19.380110122219982</v>
      </c>
      <c r="G54" s="13"/>
      <c r="H54" s="18"/>
      <c r="I54" s="18"/>
      <c r="J54" s="18"/>
      <c r="K54" s="13"/>
      <c r="L54" s="18"/>
      <c r="M54" s="95"/>
      <c r="N54" s="66"/>
      <c r="O54" s="99"/>
      <c r="P54" s="18"/>
      <c r="Q54" s="97"/>
      <c r="R54" s="34">
        <v>-10</v>
      </c>
      <c r="S54" s="33">
        <f t="shared" si="34"/>
        <v>-29.380110122219982</v>
      </c>
      <c r="T54" s="97">
        <f t="shared" si="23"/>
        <v>1.153424010564151E-3</v>
      </c>
      <c r="U54" s="18"/>
      <c r="V54" s="18"/>
      <c r="W54" s="97"/>
      <c r="X54" s="34">
        <v>-16</v>
      </c>
      <c r="Y54" s="33">
        <f t="shared" si="36"/>
        <v>-35.380110122219982</v>
      </c>
      <c r="Z54" s="97">
        <f t="shared" si="21"/>
        <v>2.8972701219134498E-4</v>
      </c>
    </row>
    <row r="55" spans="2:26" x14ac:dyDescent="0.2">
      <c r="B55" s="15">
        <v>5000</v>
      </c>
      <c r="C55" s="23">
        <f>'3º Alta Frec'!J51</f>
        <v>22.92445623273694</v>
      </c>
      <c r="D55" s="23">
        <f>'3º Alta Frec'!T51</f>
        <v>20.174592477652379</v>
      </c>
      <c r="E55" s="24">
        <f t="shared" si="19"/>
        <v>2</v>
      </c>
      <c r="F55" s="113">
        <f t="shared" si="24"/>
        <v>21.335421085612282</v>
      </c>
      <c r="G55" s="15"/>
      <c r="H55" s="16"/>
      <c r="I55" s="16"/>
      <c r="J55" s="16"/>
      <c r="K55" s="13"/>
      <c r="L55" s="18"/>
      <c r="M55" s="95"/>
      <c r="N55" s="66"/>
      <c r="O55" s="13"/>
      <c r="P55" s="18"/>
      <c r="Q55" s="97"/>
      <c r="R55" s="34">
        <v>-10</v>
      </c>
      <c r="S55" s="33">
        <f t="shared" si="34"/>
        <v>-31.335421085612282</v>
      </c>
      <c r="T55" s="97">
        <f t="shared" si="23"/>
        <v>7.352886994963473E-4</v>
      </c>
      <c r="U55" s="18"/>
      <c r="V55" s="18"/>
      <c r="W55" s="97"/>
      <c r="X55" s="34">
        <v>-18</v>
      </c>
      <c r="Y55" s="33">
        <f t="shared" si="36"/>
        <v>-39.335421085612282</v>
      </c>
      <c r="Z55" s="97">
        <f t="shared" si="21"/>
        <v>1.1653540543253459E-4</v>
      </c>
    </row>
    <row r="56" spans="2:26" x14ac:dyDescent="0.2">
      <c r="K56" s="80">
        <f>SUM(K38:K53)</f>
        <v>0</v>
      </c>
      <c r="L56" s="23">
        <f t="shared" ref="L56:N56" si="38">SUM(L38:L53)</f>
        <v>26.212894920755307</v>
      </c>
      <c r="M56" s="102">
        <f t="shared" si="38"/>
        <v>29.212894920755307</v>
      </c>
      <c r="N56" s="59">
        <f t="shared" si="38"/>
        <v>32.328753466334298</v>
      </c>
      <c r="O56" s="79" t="s">
        <v>142</v>
      </c>
      <c r="P56" s="33">
        <f>52-28</f>
        <v>24</v>
      </c>
      <c r="Q56" s="103">
        <f>-10*LOG10(SUM(Q35:Q55))</f>
        <v>20.153206363149327</v>
      </c>
      <c r="R56" s="34"/>
      <c r="S56" s="33"/>
      <c r="T56" s="103">
        <f>-10*LOG10(SUM(T35:T55))</f>
        <v>20.10026368281374</v>
      </c>
      <c r="U56" s="33"/>
      <c r="V56" s="33"/>
      <c r="W56" s="103">
        <f>-10*LOG10(SUM(W35:W55))</f>
        <v>19.815025382694841</v>
      </c>
      <c r="X56" s="34"/>
      <c r="Y56" s="33"/>
      <c r="Z56" s="103">
        <f>-10*LOG10(SUM(Z35:Z55))</f>
        <v>18.14366889859259</v>
      </c>
    </row>
    <row r="57" spans="2:26" x14ac:dyDescent="0.2">
      <c r="O57" s="15"/>
      <c r="P57" s="16"/>
      <c r="Q57" s="114">
        <f>ROUND(Q56,0)-P56</f>
        <v>-4</v>
      </c>
      <c r="R57" s="16"/>
      <c r="S57" s="16"/>
      <c r="T57" s="114">
        <f>ROUND(T56,0)-P56</f>
        <v>-4</v>
      </c>
      <c r="U57" s="16"/>
      <c r="V57" s="16"/>
      <c r="W57" s="114">
        <f>ROUND(W56,0)-P56</f>
        <v>-4</v>
      </c>
      <c r="X57" s="16"/>
      <c r="Y57" s="16"/>
      <c r="Z57" s="114">
        <f>ROUND(Z56,0)-P56</f>
        <v>-6</v>
      </c>
    </row>
    <row r="58" spans="2:26" x14ac:dyDescent="0.2">
      <c r="O58" s="18"/>
      <c r="P58" s="18"/>
      <c r="Q58" s="34"/>
      <c r="R58" s="18"/>
      <c r="S58" s="18"/>
      <c r="T58" s="34"/>
      <c r="U58" s="18"/>
      <c r="V58" s="18"/>
      <c r="W58" s="34"/>
      <c r="X58" s="18"/>
      <c r="Y58" s="18"/>
      <c r="Z58" s="34"/>
    </row>
    <row r="59" spans="2:26" x14ac:dyDescent="0.2">
      <c r="O59" s="18"/>
      <c r="P59" s="18"/>
      <c r="Q59" s="34"/>
      <c r="R59" s="18"/>
      <c r="S59" s="18"/>
      <c r="T59" s="34"/>
      <c r="U59" s="18"/>
      <c r="V59" s="18"/>
      <c r="W59" s="34"/>
      <c r="X59" s="18"/>
      <c r="Y59" s="18"/>
      <c r="Z59" s="34"/>
    </row>
    <row r="60" spans="2:26" x14ac:dyDescent="0.2">
      <c r="D60" s="2" t="s">
        <v>92</v>
      </c>
      <c r="O60" s="18"/>
      <c r="P60" s="18"/>
      <c r="Q60" s="34"/>
      <c r="R60" s="18"/>
      <c r="S60" s="18"/>
      <c r="T60" s="34"/>
      <c r="U60" s="18"/>
      <c r="V60" s="18"/>
      <c r="W60" s="34"/>
      <c r="X60" s="18"/>
      <c r="Y60" s="18"/>
      <c r="Z60" s="34"/>
    </row>
    <row r="61" spans="2:26" x14ac:dyDescent="0.2">
      <c r="O61" s="18"/>
      <c r="P61" s="18"/>
      <c r="Q61" s="34"/>
      <c r="R61" s="18"/>
      <c r="S61" s="18"/>
      <c r="T61" s="34"/>
      <c r="U61" s="18"/>
      <c r="V61" s="18"/>
      <c r="W61" s="34"/>
      <c r="X61" s="18"/>
      <c r="Y61" s="18"/>
      <c r="Z61" s="34"/>
    </row>
    <row r="62" spans="2:26" x14ac:dyDescent="0.2">
      <c r="F62" s="172" t="s">
        <v>44</v>
      </c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4"/>
    </row>
    <row r="63" spans="2:26" x14ac:dyDescent="0.2">
      <c r="B63" s="47" t="s">
        <v>44</v>
      </c>
      <c r="C63" s="48"/>
      <c r="D63" s="48"/>
      <c r="E63" s="48"/>
      <c r="F63" s="184"/>
      <c r="G63" s="162" t="s">
        <v>96</v>
      </c>
      <c r="H63" s="163"/>
      <c r="I63" s="163"/>
      <c r="J63" s="163"/>
      <c r="K63" s="186" t="s">
        <v>95</v>
      </c>
      <c r="L63" s="187"/>
      <c r="M63" s="187"/>
      <c r="N63" s="188"/>
      <c r="O63" s="189" t="s">
        <v>99</v>
      </c>
      <c r="P63" s="190"/>
      <c r="Q63" s="191"/>
      <c r="R63" s="192" t="s">
        <v>97</v>
      </c>
      <c r="S63" s="192"/>
      <c r="T63" s="193"/>
      <c r="U63" s="190" t="s">
        <v>100</v>
      </c>
      <c r="V63" s="190"/>
      <c r="W63" s="191"/>
      <c r="X63" s="192" t="s">
        <v>98</v>
      </c>
      <c r="Y63" s="192"/>
      <c r="Z63" s="193"/>
    </row>
    <row r="64" spans="2:26" ht="34" customHeight="1" x14ac:dyDescent="0.2">
      <c r="B64" s="28"/>
      <c r="C64" s="29"/>
      <c r="D64" s="29"/>
      <c r="E64" s="29" t="s">
        <v>50</v>
      </c>
      <c r="F64" s="185"/>
      <c r="G64" s="15" t="s">
        <v>94</v>
      </c>
      <c r="H64" s="16" t="s">
        <v>104</v>
      </c>
      <c r="I64" s="107" t="s">
        <v>102</v>
      </c>
      <c r="J64" s="16" t="s">
        <v>88</v>
      </c>
      <c r="K64" s="15" t="s">
        <v>94</v>
      </c>
      <c r="L64" s="16" t="s">
        <v>104</v>
      </c>
      <c r="M64" s="107" t="s">
        <v>102</v>
      </c>
      <c r="N64" s="16" t="s">
        <v>88</v>
      </c>
      <c r="O64" s="142" t="s">
        <v>126</v>
      </c>
      <c r="P64" s="143"/>
      <c r="Q64" s="145"/>
      <c r="R64" s="144" t="s">
        <v>126</v>
      </c>
      <c r="S64" s="144"/>
      <c r="T64" s="145"/>
      <c r="U64" s="144" t="s">
        <v>126</v>
      </c>
      <c r="V64" s="143"/>
      <c r="W64" s="145"/>
      <c r="X64" s="144" t="s">
        <v>126</v>
      </c>
      <c r="Y64" s="144"/>
      <c r="Z64" s="145"/>
    </row>
    <row r="65" spans="2:26" x14ac:dyDescent="0.2">
      <c r="B65" s="13">
        <v>50</v>
      </c>
      <c r="C65" s="33">
        <f>'3º Alta Frec'!J58</f>
        <v>26.448763500351792</v>
      </c>
      <c r="D65" s="33">
        <f>'3º Alta Frec'!T58</f>
        <v>22.491278988608844</v>
      </c>
      <c r="E65" s="34">
        <f t="shared" ref="E65:E85" si="39">COUNT(C65:D65)</f>
        <v>2</v>
      </c>
      <c r="F65" s="111">
        <v>19.340091866378867</v>
      </c>
      <c r="G65" s="13"/>
      <c r="H65" s="18"/>
      <c r="I65" s="18"/>
      <c r="J65" s="18"/>
      <c r="K65" s="13"/>
      <c r="L65" s="18"/>
      <c r="M65" s="95"/>
      <c r="N65" s="96"/>
      <c r="O65" s="13"/>
      <c r="P65" s="18"/>
      <c r="Q65" s="97"/>
      <c r="R65" s="34">
        <v>-41</v>
      </c>
      <c r="S65" s="33">
        <f>R65-F65</f>
        <v>-60.34009186637887</v>
      </c>
      <c r="T65" s="97">
        <f>10^(S65/10)</f>
        <v>9.2467861399033635E-7</v>
      </c>
      <c r="U65" s="18"/>
      <c r="V65" s="18"/>
      <c r="W65" s="97"/>
      <c r="X65" s="34">
        <v>-25</v>
      </c>
      <c r="Y65" s="33">
        <f t="shared" ref="Y65" si="40">X65-F65</f>
        <v>-44.34009186637887</v>
      </c>
      <c r="Z65" s="97">
        <f t="shared" ref="Z65:Z85" si="41">10^(Y65/10)</f>
        <v>3.681211866870219E-5</v>
      </c>
    </row>
    <row r="66" spans="2:26" x14ac:dyDescent="0.2">
      <c r="B66" s="13">
        <v>63</v>
      </c>
      <c r="C66" s="33">
        <f>'3º Alta Frec'!J59</f>
        <v>26.159677967420706</v>
      </c>
      <c r="D66" s="33">
        <f>'3º Alta Frec'!T59</f>
        <v>35.806251445928886</v>
      </c>
      <c r="E66" s="34">
        <f t="shared" si="39"/>
        <v>2</v>
      </c>
      <c r="F66" s="112">
        <v>22.727857460160518</v>
      </c>
      <c r="G66" s="13"/>
      <c r="H66" s="18"/>
      <c r="I66" s="18"/>
      <c r="J66" s="18"/>
      <c r="K66" s="13"/>
      <c r="L66" s="18"/>
      <c r="M66" s="95"/>
      <c r="N66" s="96"/>
      <c r="O66" s="13"/>
      <c r="P66" s="18"/>
      <c r="Q66" s="97"/>
      <c r="R66" s="34">
        <v>-37</v>
      </c>
      <c r="S66" s="33">
        <f t="shared" ref="S66:S67" si="42">R66-F66</f>
        <v>-59.727857460160521</v>
      </c>
      <c r="T66" s="97">
        <f t="shared" ref="T66:T85" si="43">10^(S66/10)</f>
        <v>1.0646681299622325E-6</v>
      </c>
      <c r="U66" s="18"/>
      <c r="V66" s="18"/>
      <c r="W66" s="97"/>
      <c r="X66" s="34">
        <v>-23</v>
      </c>
      <c r="Y66" s="33">
        <f>X66-F66</f>
        <v>-45.727857460160521</v>
      </c>
      <c r="Z66" s="97">
        <f t="shared" si="41"/>
        <v>2.6743254297128126E-5</v>
      </c>
    </row>
    <row r="67" spans="2:26" x14ac:dyDescent="0.2">
      <c r="B67" s="13">
        <v>80</v>
      </c>
      <c r="C67" s="33">
        <f>'3º Alta Frec'!J60</f>
        <v>25.641052984619112</v>
      </c>
      <c r="D67" s="33">
        <f>'3º Alta Frec'!T60</f>
        <v>34.292803314921059</v>
      </c>
      <c r="E67" s="34">
        <f t="shared" si="39"/>
        <v>2</v>
      </c>
      <c r="F67" s="112">
        <v>25.492731053918192</v>
      </c>
      <c r="G67" s="13"/>
      <c r="H67" s="18"/>
      <c r="I67" s="18"/>
      <c r="J67" s="18"/>
      <c r="K67" s="13"/>
      <c r="L67" s="18"/>
      <c r="M67" s="95"/>
      <c r="N67" s="96"/>
      <c r="O67" s="13"/>
      <c r="P67" s="18"/>
      <c r="Q67" s="97"/>
      <c r="R67" s="34">
        <v>-34</v>
      </c>
      <c r="S67" s="33">
        <f t="shared" si="42"/>
        <v>-59.492731053918192</v>
      </c>
      <c r="T67" s="97">
        <f t="shared" si="43"/>
        <v>1.1238979902399857E-6</v>
      </c>
      <c r="U67" s="18"/>
      <c r="V67" s="18"/>
      <c r="W67" s="97"/>
      <c r="X67" s="34">
        <v>-21</v>
      </c>
      <c r="Y67" s="33">
        <f t="shared" ref="Y67" si="44">X67-F67</f>
        <v>-46.492731053918192</v>
      </c>
      <c r="Z67" s="97">
        <f t="shared" si="41"/>
        <v>2.2424713057951092E-5</v>
      </c>
    </row>
    <row r="68" spans="2:26" x14ac:dyDescent="0.2">
      <c r="B68" s="13">
        <v>100</v>
      </c>
      <c r="C68" s="33">
        <f>'3º Alta Frec'!J61</f>
        <v>26.233667216378475</v>
      </c>
      <c r="D68" s="33">
        <f>'3º Alta Frec'!T61</f>
        <v>35.830821151409765</v>
      </c>
      <c r="E68" s="34">
        <f t="shared" si="39"/>
        <v>2</v>
      </c>
      <c r="F68" s="112">
        <f t="shared" ref="F68:F85" si="45">-10*LOG10((10^(-C68/10)+10^(-D68/10))/E68)</f>
        <v>28.791834219941311</v>
      </c>
      <c r="G68" s="13">
        <v>33</v>
      </c>
      <c r="H68" s="18">
        <f>G68-14</f>
        <v>19</v>
      </c>
      <c r="I68" s="18">
        <f>G68-15</f>
        <v>18</v>
      </c>
      <c r="J68" s="18">
        <f>G68-16</f>
        <v>17</v>
      </c>
      <c r="K68" s="79">
        <f t="shared" ref="K68:K83" si="46">IF((F68-G68)&gt;0,F68-G68,0)</f>
        <v>0</v>
      </c>
      <c r="L68" s="33">
        <f t="shared" ref="L68:L83" si="47">IF((F68-H68)&gt;0,F68-H68,0)</f>
        <v>9.7918342199413111</v>
      </c>
      <c r="M68" s="98">
        <f t="shared" ref="M68:M83" si="48">IF((F68-I68)&gt;0,F68-I68,0)</f>
        <v>10.791834219941311</v>
      </c>
      <c r="N68" s="66">
        <f t="shared" ref="N68:N83" si="49">IF((F68-J68)&gt;0,F68-J68,0)</f>
        <v>11.791834219941311</v>
      </c>
      <c r="O68" s="99">
        <v>-29</v>
      </c>
      <c r="P68" s="33">
        <f>O68-F68</f>
        <v>-57.791834219941308</v>
      </c>
      <c r="Q68" s="97">
        <f>10^(P68/10)</f>
        <v>1.662710265105981E-6</v>
      </c>
      <c r="R68" s="34">
        <v>-30</v>
      </c>
      <c r="S68" s="33">
        <f>R68-F68</f>
        <v>-58.791834219941308</v>
      </c>
      <c r="T68" s="97">
        <f>10^(S68/10)</f>
        <v>1.3207377097395775E-6</v>
      </c>
      <c r="U68" s="34">
        <v>-20</v>
      </c>
      <c r="V68" s="33">
        <f>U68-F68</f>
        <v>-48.791834219941308</v>
      </c>
      <c r="W68" s="97">
        <f>10^(V68/10)</f>
        <v>1.3207377097395765E-5</v>
      </c>
      <c r="X68" s="34">
        <v>-20</v>
      </c>
      <c r="Y68" s="33">
        <f>X68-F68</f>
        <v>-48.791834219941308</v>
      </c>
      <c r="Z68" s="97">
        <f>10^(Y68/10)</f>
        <v>1.3207377097395765E-5</v>
      </c>
    </row>
    <row r="69" spans="2:26" x14ac:dyDescent="0.2">
      <c r="B69" s="13">
        <v>125</v>
      </c>
      <c r="C69" s="33">
        <f>'3º Alta Frec'!J62</f>
        <v>22.759785337786195</v>
      </c>
      <c r="D69" s="33">
        <f>'3º Alta Frec'!T62</f>
        <v>36.896986368510852</v>
      </c>
      <c r="E69" s="34">
        <f t="shared" si="39"/>
        <v>2</v>
      </c>
      <c r="F69" s="112">
        <f t="shared" si="45"/>
        <v>25.605716322276027</v>
      </c>
      <c r="G69" s="13">
        <v>36</v>
      </c>
      <c r="H69" s="18">
        <f t="shared" ref="H69:H83" si="50">G69-14</f>
        <v>22</v>
      </c>
      <c r="I69" s="18">
        <f t="shared" ref="I69:I83" si="51">G69-15</f>
        <v>21</v>
      </c>
      <c r="J69" s="18">
        <f t="shared" ref="J69:J83" si="52">G69-16</f>
        <v>20</v>
      </c>
      <c r="K69" s="79">
        <f t="shared" si="46"/>
        <v>0</v>
      </c>
      <c r="L69" s="33">
        <f t="shared" si="47"/>
        <v>3.6057163222760273</v>
      </c>
      <c r="M69" s="98">
        <f t="shared" si="48"/>
        <v>4.6057163222760273</v>
      </c>
      <c r="N69" s="66">
        <f t="shared" si="49"/>
        <v>5.6057163222760273</v>
      </c>
      <c r="O69" s="99">
        <v>-26</v>
      </c>
      <c r="P69" s="33">
        <f t="shared" ref="P69:P83" si="53">O69-F69</f>
        <v>-51.605716322276024</v>
      </c>
      <c r="Q69" s="97">
        <f>10^(P69/10)</f>
        <v>6.9092095998706055E-6</v>
      </c>
      <c r="R69" s="34">
        <v>-27</v>
      </c>
      <c r="S69" s="33">
        <f t="shared" ref="S69:S85" si="54">R69-F69</f>
        <v>-52.605716322276024</v>
      </c>
      <c r="T69" s="97">
        <f t="shared" si="43"/>
        <v>5.4881802648052825E-6</v>
      </c>
      <c r="U69" s="34">
        <v>-20</v>
      </c>
      <c r="V69" s="33">
        <f>U69-F69</f>
        <v>-45.605716322276024</v>
      </c>
      <c r="W69" s="97">
        <f t="shared" ref="W69:W83" si="55">10^(V69/10)</f>
        <v>2.7506058845655515E-5</v>
      </c>
      <c r="X69" s="34">
        <v>-20</v>
      </c>
      <c r="Y69" s="33">
        <f t="shared" ref="Y69:Y85" si="56">X69-F69</f>
        <v>-45.605716322276024</v>
      </c>
      <c r="Z69" s="97">
        <f t="shared" si="41"/>
        <v>2.7506058845655515E-5</v>
      </c>
    </row>
    <row r="70" spans="2:26" x14ac:dyDescent="0.2">
      <c r="B70" s="13">
        <v>160</v>
      </c>
      <c r="C70" s="33">
        <f>'3º Alta Frec'!J63</f>
        <v>24.837531973364985</v>
      </c>
      <c r="D70" s="33">
        <f>'3º Alta Frec'!T63</f>
        <v>30.987865801306423</v>
      </c>
      <c r="E70" s="34">
        <f t="shared" si="39"/>
        <v>2</v>
      </c>
      <c r="F70" s="112">
        <f t="shared" si="45"/>
        <v>26.904370397735633</v>
      </c>
      <c r="G70" s="13">
        <v>39</v>
      </c>
      <c r="H70" s="18">
        <f t="shared" si="50"/>
        <v>25</v>
      </c>
      <c r="I70" s="18">
        <f t="shared" si="51"/>
        <v>24</v>
      </c>
      <c r="J70" s="18">
        <f t="shared" si="52"/>
        <v>23</v>
      </c>
      <c r="K70" s="79">
        <f t="shared" si="46"/>
        <v>0</v>
      </c>
      <c r="L70" s="33">
        <f t="shared" si="47"/>
        <v>1.904370397735633</v>
      </c>
      <c r="M70" s="98">
        <f t="shared" si="48"/>
        <v>2.904370397735633</v>
      </c>
      <c r="N70" s="66">
        <f t="shared" si="49"/>
        <v>3.904370397735633</v>
      </c>
      <c r="O70" s="99">
        <v>-23</v>
      </c>
      <c r="P70" s="33">
        <f t="shared" si="53"/>
        <v>-49.904370397735633</v>
      </c>
      <c r="Q70" s="97">
        <f t="shared" ref="Q70:Q83" si="57">10^(P70/10)</f>
        <v>1.0222637487412715E-5</v>
      </c>
      <c r="R70" s="34">
        <v>-24</v>
      </c>
      <c r="S70" s="33">
        <f t="shared" si="54"/>
        <v>-50.904370397735633</v>
      </c>
      <c r="T70" s="97">
        <f t="shared" si="43"/>
        <v>8.1201295896027987E-6</v>
      </c>
      <c r="U70" s="34">
        <v>-18</v>
      </c>
      <c r="V70" s="33">
        <f t="shared" ref="V70:V83" si="58">U70-F70</f>
        <v>-44.904370397735633</v>
      </c>
      <c r="W70" s="97">
        <f t="shared" si="55"/>
        <v>3.2326818154445053E-5</v>
      </c>
      <c r="X70" s="34">
        <v>-18</v>
      </c>
      <c r="Y70" s="33">
        <f t="shared" si="56"/>
        <v>-44.904370397735633</v>
      </c>
      <c r="Z70" s="97">
        <f t="shared" si="41"/>
        <v>3.2326818154445053E-5</v>
      </c>
    </row>
    <row r="71" spans="2:26" x14ac:dyDescent="0.2">
      <c r="B71" s="13">
        <v>200</v>
      </c>
      <c r="C71" s="33">
        <f>'3º Alta Frec'!J64</f>
        <v>29.698162380423927</v>
      </c>
      <c r="D71" s="33">
        <f>'3º Alta Frec'!T64</f>
        <v>40.671626134392056</v>
      </c>
      <c r="E71" s="34">
        <f t="shared" si="39"/>
        <v>2</v>
      </c>
      <c r="F71" s="112">
        <f t="shared" si="45"/>
        <v>32.37454786327951</v>
      </c>
      <c r="G71" s="13">
        <v>42</v>
      </c>
      <c r="H71" s="18">
        <f t="shared" si="50"/>
        <v>28</v>
      </c>
      <c r="I71" s="18">
        <f t="shared" si="51"/>
        <v>27</v>
      </c>
      <c r="J71" s="18">
        <f t="shared" si="52"/>
        <v>26</v>
      </c>
      <c r="K71" s="79">
        <f t="shared" si="46"/>
        <v>0</v>
      </c>
      <c r="L71" s="33">
        <f t="shared" si="47"/>
        <v>4.3745478632795098</v>
      </c>
      <c r="M71" s="98">
        <f t="shared" si="48"/>
        <v>5.3745478632795098</v>
      </c>
      <c r="N71" s="66">
        <f t="shared" si="49"/>
        <v>6.3745478632795098</v>
      </c>
      <c r="O71" s="99">
        <v>-21</v>
      </c>
      <c r="P71" s="33">
        <f t="shared" si="53"/>
        <v>-53.37454786327951</v>
      </c>
      <c r="Q71" s="97">
        <f t="shared" si="57"/>
        <v>4.5977485243011552E-6</v>
      </c>
      <c r="R71" s="34">
        <v>-22</v>
      </c>
      <c r="S71" s="33">
        <f t="shared" si="54"/>
        <v>-54.37454786327951</v>
      </c>
      <c r="T71" s="97">
        <f t="shared" si="43"/>
        <v>3.652121469014311E-6</v>
      </c>
      <c r="U71" s="34">
        <v>-16</v>
      </c>
      <c r="V71" s="33">
        <f t="shared" si="58"/>
        <v>-48.37454786327951</v>
      </c>
      <c r="W71" s="97">
        <f t="shared" si="55"/>
        <v>1.4539357445469661E-5</v>
      </c>
      <c r="X71" s="34">
        <v>-16</v>
      </c>
      <c r="Y71" s="33">
        <f t="shared" si="56"/>
        <v>-48.37454786327951</v>
      </c>
      <c r="Z71" s="97">
        <f t="shared" si="41"/>
        <v>1.4539357445469661E-5</v>
      </c>
    </row>
    <row r="72" spans="2:26" x14ac:dyDescent="0.2">
      <c r="B72" s="13">
        <v>250</v>
      </c>
      <c r="C72" s="33">
        <f>'3º Alta Frec'!J65</f>
        <v>31.121997484651448</v>
      </c>
      <c r="D72" s="33">
        <f>'3º Alta Frec'!T65</f>
        <v>39.222909211943943</v>
      </c>
      <c r="E72" s="34">
        <f t="shared" si="39"/>
        <v>2</v>
      </c>
      <c r="F72" s="112">
        <f t="shared" si="45"/>
        <v>33.50704484894807</v>
      </c>
      <c r="G72" s="100">
        <v>45</v>
      </c>
      <c r="H72" s="18">
        <f t="shared" si="50"/>
        <v>31</v>
      </c>
      <c r="I72" s="18">
        <f t="shared" si="51"/>
        <v>30</v>
      </c>
      <c r="J72" s="18">
        <f t="shared" si="52"/>
        <v>29</v>
      </c>
      <c r="K72" s="79">
        <f t="shared" si="46"/>
        <v>0</v>
      </c>
      <c r="L72" s="33">
        <f t="shared" si="47"/>
        <v>2.5070448489480697</v>
      </c>
      <c r="M72" s="98">
        <f t="shared" si="48"/>
        <v>3.5070448489480697</v>
      </c>
      <c r="N72" s="66">
        <f t="shared" si="49"/>
        <v>4.5070448489480697</v>
      </c>
      <c r="O72" s="99">
        <v>-19</v>
      </c>
      <c r="P72" s="33">
        <f t="shared" si="53"/>
        <v>-52.50704484894807</v>
      </c>
      <c r="Q72" s="97">
        <f t="shared" si="57"/>
        <v>5.6142987029990766E-6</v>
      </c>
      <c r="R72" s="34">
        <v>-20</v>
      </c>
      <c r="S72" s="33">
        <f t="shared" si="54"/>
        <v>-53.50704484894807</v>
      </c>
      <c r="T72" s="97">
        <f t="shared" si="43"/>
        <v>4.4595959779680754E-6</v>
      </c>
      <c r="U72" s="34">
        <v>-15</v>
      </c>
      <c r="V72" s="33">
        <f t="shared" si="58"/>
        <v>-48.50704484894807</v>
      </c>
      <c r="W72" s="97">
        <f t="shared" si="55"/>
        <v>1.4102480734505184E-5</v>
      </c>
      <c r="X72" s="34">
        <v>-15</v>
      </c>
      <c r="Y72" s="33">
        <f t="shared" si="56"/>
        <v>-48.50704484894807</v>
      </c>
      <c r="Z72" s="97">
        <f t="shared" si="41"/>
        <v>1.4102480734505184E-5</v>
      </c>
    </row>
    <row r="73" spans="2:26" x14ac:dyDescent="0.2">
      <c r="B73" s="13">
        <v>315</v>
      </c>
      <c r="C73" s="33">
        <f>'3º Alta Frec'!J66</f>
        <v>29.929886824486179</v>
      </c>
      <c r="D73" s="33">
        <f>'3º Alta Frec'!T66</f>
        <v>33.869967282955791</v>
      </c>
      <c r="E73" s="34">
        <f t="shared" si="39"/>
        <v>2</v>
      </c>
      <c r="F73" s="112">
        <f t="shared" si="45"/>
        <v>31.467635872683065</v>
      </c>
      <c r="G73" s="100">
        <v>48</v>
      </c>
      <c r="H73" s="18">
        <f t="shared" si="50"/>
        <v>34</v>
      </c>
      <c r="I73" s="18">
        <f t="shared" si="51"/>
        <v>33</v>
      </c>
      <c r="J73" s="18">
        <f t="shared" si="52"/>
        <v>32</v>
      </c>
      <c r="K73" s="79">
        <f t="shared" si="46"/>
        <v>0</v>
      </c>
      <c r="L73" s="33">
        <f t="shared" si="47"/>
        <v>0</v>
      </c>
      <c r="M73" s="98">
        <f t="shared" si="48"/>
        <v>0</v>
      </c>
      <c r="N73" s="66">
        <f t="shared" si="49"/>
        <v>0</v>
      </c>
      <c r="O73" s="99">
        <v>-17</v>
      </c>
      <c r="P73" s="33">
        <f t="shared" si="53"/>
        <v>-48.467635872683061</v>
      </c>
      <c r="Q73" s="97">
        <f t="shared" si="57"/>
        <v>1.4231032574118927E-5</v>
      </c>
      <c r="R73" s="34">
        <v>-18</v>
      </c>
      <c r="S73" s="33">
        <f t="shared" si="54"/>
        <v>-49.467635872683061</v>
      </c>
      <c r="T73" s="97">
        <f t="shared" si="43"/>
        <v>1.1304110982903645E-5</v>
      </c>
      <c r="U73" s="34">
        <v>-14</v>
      </c>
      <c r="V73" s="33">
        <f t="shared" si="58"/>
        <v>-45.467635872683061</v>
      </c>
      <c r="W73" s="97">
        <f t="shared" si="55"/>
        <v>2.8394642998234033E-5</v>
      </c>
      <c r="X73" s="34">
        <v>-14</v>
      </c>
      <c r="Y73" s="33">
        <f t="shared" si="56"/>
        <v>-45.467635872683061</v>
      </c>
      <c r="Z73" s="97">
        <f t="shared" si="41"/>
        <v>2.8394642998234033E-5</v>
      </c>
    </row>
    <row r="74" spans="2:26" x14ac:dyDescent="0.2">
      <c r="B74" s="13">
        <v>400</v>
      </c>
      <c r="C74" s="33">
        <f>'3º Alta Frec'!J67</f>
        <v>29.462527683251853</v>
      </c>
      <c r="D74" s="33">
        <f>'3º Alta Frec'!T67</f>
        <v>37.252134793396799</v>
      </c>
      <c r="E74" s="34">
        <f t="shared" si="39"/>
        <v>2</v>
      </c>
      <c r="F74" s="112">
        <f t="shared" si="45"/>
        <v>31.804515192622226</v>
      </c>
      <c r="G74" s="100">
        <v>51</v>
      </c>
      <c r="H74" s="18">
        <f t="shared" si="50"/>
        <v>37</v>
      </c>
      <c r="I74" s="18">
        <f t="shared" si="51"/>
        <v>36</v>
      </c>
      <c r="J74" s="18">
        <f t="shared" si="52"/>
        <v>35</v>
      </c>
      <c r="K74" s="79">
        <f t="shared" si="46"/>
        <v>0</v>
      </c>
      <c r="L74" s="33">
        <f t="shared" si="47"/>
        <v>0</v>
      </c>
      <c r="M74" s="98">
        <f t="shared" si="48"/>
        <v>0</v>
      </c>
      <c r="N74" s="66">
        <f t="shared" si="49"/>
        <v>0</v>
      </c>
      <c r="O74" s="99">
        <v>-15</v>
      </c>
      <c r="P74" s="33">
        <f t="shared" si="53"/>
        <v>-46.804515192622226</v>
      </c>
      <c r="Q74" s="97">
        <f t="shared" si="57"/>
        <v>2.0871250988226917E-5</v>
      </c>
      <c r="R74" s="34">
        <v>-16</v>
      </c>
      <c r="S74" s="33">
        <f t="shared" si="54"/>
        <v>-47.804515192622226</v>
      </c>
      <c r="T74" s="97">
        <f t="shared" si="43"/>
        <v>1.657862395396569E-5</v>
      </c>
      <c r="U74" s="34">
        <v>-13</v>
      </c>
      <c r="V74" s="33">
        <f t="shared" si="58"/>
        <v>-44.804515192622226</v>
      </c>
      <c r="W74" s="97">
        <f t="shared" si="55"/>
        <v>3.3078703609388124E-5</v>
      </c>
      <c r="X74" s="34">
        <v>-13</v>
      </c>
      <c r="Y74" s="33">
        <f t="shared" si="56"/>
        <v>-44.804515192622226</v>
      </c>
      <c r="Z74" s="97">
        <f t="shared" si="41"/>
        <v>3.3078703609388124E-5</v>
      </c>
    </row>
    <row r="75" spans="2:26" x14ac:dyDescent="0.2">
      <c r="B75" s="13">
        <v>500</v>
      </c>
      <c r="C75" s="33">
        <f>'3º Alta Frec'!J68</f>
        <v>32.589294640227386</v>
      </c>
      <c r="D75" s="33">
        <f>'3º Alta Frec'!T68</f>
        <v>37.103450719945535</v>
      </c>
      <c r="E75" s="34">
        <f t="shared" si="39"/>
        <v>2</v>
      </c>
      <c r="F75" s="112">
        <f t="shared" si="45"/>
        <v>34.284502688794831</v>
      </c>
      <c r="G75" s="101">
        <v>52</v>
      </c>
      <c r="H75" s="18">
        <f t="shared" si="50"/>
        <v>38</v>
      </c>
      <c r="I75" s="95">
        <f t="shared" si="51"/>
        <v>37</v>
      </c>
      <c r="J75" s="18">
        <f t="shared" si="52"/>
        <v>36</v>
      </c>
      <c r="K75" s="79">
        <f t="shared" si="46"/>
        <v>0</v>
      </c>
      <c r="L75" s="33">
        <f t="shared" si="47"/>
        <v>0</v>
      </c>
      <c r="M75" s="98">
        <f t="shared" si="48"/>
        <v>0</v>
      </c>
      <c r="N75" s="66">
        <f t="shared" si="49"/>
        <v>0</v>
      </c>
      <c r="O75" s="99">
        <v>-13</v>
      </c>
      <c r="P75" s="33">
        <f t="shared" si="53"/>
        <v>-47.284502688794831</v>
      </c>
      <c r="Q75" s="97">
        <f t="shared" si="57"/>
        <v>1.8687436550958166E-5</v>
      </c>
      <c r="R75" s="34">
        <v>-14</v>
      </c>
      <c r="S75" s="33">
        <f t="shared" si="54"/>
        <v>-48.284502688794831</v>
      </c>
      <c r="T75" s="97">
        <f t="shared" si="43"/>
        <v>1.4843958487044603E-5</v>
      </c>
      <c r="U75" s="34">
        <v>-12</v>
      </c>
      <c r="V75" s="33">
        <f t="shared" si="58"/>
        <v>-46.284502688794831</v>
      </c>
      <c r="W75" s="97">
        <f t="shared" si="55"/>
        <v>2.3526088755292359E-5</v>
      </c>
      <c r="X75" s="34">
        <v>-12</v>
      </c>
      <c r="Y75" s="33">
        <f t="shared" si="56"/>
        <v>-46.284502688794831</v>
      </c>
      <c r="Z75" s="97">
        <f t="shared" si="41"/>
        <v>2.3526088755292359E-5</v>
      </c>
    </row>
    <row r="76" spans="2:26" x14ac:dyDescent="0.2">
      <c r="B76" s="13">
        <v>630</v>
      </c>
      <c r="C76" s="33">
        <f>'3º Alta Frec'!J69</f>
        <v>30.445533253980624</v>
      </c>
      <c r="D76" s="33">
        <f>'3º Alta Frec'!T69</f>
        <v>40.570841803919414</v>
      </c>
      <c r="E76" s="34">
        <f t="shared" si="39"/>
        <v>2</v>
      </c>
      <c r="F76" s="112">
        <f t="shared" si="45"/>
        <v>33.053149812014659</v>
      </c>
      <c r="G76" s="13">
        <v>53</v>
      </c>
      <c r="H76" s="18">
        <f t="shared" si="50"/>
        <v>39</v>
      </c>
      <c r="I76" s="18">
        <f t="shared" si="51"/>
        <v>38</v>
      </c>
      <c r="J76" s="18">
        <f t="shared" si="52"/>
        <v>37</v>
      </c>
      <c r="K76" s="79">
        <f t="shared" si="46"/>
        <v>0</v>
      </c>
      <c r="L76" s="33">
        <f t="shared" si="47"/>
        <v>0</v>
      </c>
      <c r="M76" s="98">
        <f t="shared" si="48"/>
        <v>0</v>
      </c>
      <c r="N76" s="66">
        <f t="shared" si="49"/>
        <v>0</v>
      </c>
      <c r="O76" s="99">
        <v>-12</v>
      </c>
      <c r="P76" s="33">
        <f t="shared" si="53"/>
        <v>-45.053149812014659</v>
      </c>
      <c r="Q76" s="97">
        <f t="shared" si="57"/>
        <v>3.1238129343440196E-5</v>
      </c>
      <c r="R76" s="34">
        <v>-13</v>
      </c>
      <c r="S76" s="33">
        <f t="shared" si="54"/>
        <v>-46.053149812014659</v>
      </c>
      <c r="T76" s="97">
        <f t="shared" si="43"/>
        <v>2.4813328137463651E-5</v>
      </c>
      <c r="U76" s="34">
        <v>-11</v>
      </c>
      <c r="V76" s="33">
        <f t="shared" si="58"/>
        <v>-44.053149812014659</v>
      </c>
      <c r="W76" s="97">
        <f t="shared" si="55"/>
        <v>3.9326474847370005E-5</v>
      </c>
      <c r="X76" s="34">
        <v>-11</v>
      </c>
      <c r="Y76" s="33">
        <f t="shared" si="56"/>
        <v>-44.053149812014659</v>
      </c>
      <c r="Z76" s="97">
        <f t="shared" si="41"/>
        <v>3.9326474847370005E-5</v>
      </c>
    </row>
    <row r="77" spans="2:26" x14ac:dyDescent="0.2">
      <c r="B77" s="13">
        <v>800</v>
      </c>
      <c r="C77" s="33">
        <f>'3º Alta Frec'!J70</f>
        <v>33.712592770651568</v>
      </c>
      <c r="D77" s="33">
        <f>'3º Alta Frec'!T70</f>
        <v>43.052350182338984</v>
      </c>
      <c r="E77" s="34">
        <f t="shared" si="39"/>
        <v>2</v>
      </c>
      <c r="F77" s="112">
        <f t="shared" si="45"/>
        <v>36.244620126039472</v>
      </c>
      <c r="G77" s="13">
        <v>54</v>
      </c>
      <c r="H77" s="18">
        <f t="shared" si="50"/>
        <v>40</v>
      </c>
      <c r="I77" s="18">
        <f t="shared" si="51"/>
        <v>39</v>
      </c>
      <c r="J77" s="18">
        <f t="shared" si="52"/>
        <v>38</v>
      </c>
      <c r="K77" s="79">
        <f t="shared" si="46"/>
        <v>0</v>
      </c>
      <c r="L77" s="33">
        <f t="shared" si="47"/>
        <v>0</v>
      </c>
      <c r="M77" s="98">
        <f t="shared" si="48"/>
        <v>0</v>
      </c>
      <c r="N77" s="66">
        <f t="shared" si="49"/>
        <v>0</v>
      </c>
      <c r="O77" s="99">
        <v>-11</v>
      </c>
      <c r="P77" s="33">
        <f t="shared" si="53"/>
        <v>-47.244620126039472</v>
      </c>
      <c r="Q77" s="97">
        <f t="shared" si="57"/>
        <v>1.8859839278036795E-5</v>
      </c>
      <c r="R77" s="34">
        <v>-12</v>
      </c>
      <c r="S77" s="33">
        <f t="shared" si="54"/>
        <v>-48.244620126039472</v>
      </c>
      <c r="T77" s="97">
        <f t="shared" si="43"/>
        <v>1.4980902840906651E-5</v>
      </c>
      <c r="U77" s="34">
        <v>-9</v>
      </c>
      <c r="V77" s="33">
        <f t="shared" si="58"/>
        <v>-45.244620126039472</v>
      </c>
      <c r="W77" s="97">
        <f t="shared" si="55"/>
        <v>2.9890830882671286E-5</v>
      </c>
      <c r="X77" s="34">
        <v>-9</v>
      </c>
      <c r="Y77" s="33">
        <f t="shared" si="56"/>
        <v>-45.244620126039472</v>
      </c>
      <c r="Z77" s="97">
        <f t="shared" si="41"/>
        <v>2.9890830882671286E-5</v>
      </c>
    </row>
    <row r="78" spans="2:26" x14ac:dyDescent="0.2">
      <c r="B78" s="13">
        <v>1000</v>
      </c>
      <c r="C78" s="33">
        <f>'3º Alta Frec'!J71</f>
        <v>35.734146805316882</v>
      </c>
      <c r="D78" s="33">
        <f>'3º Alta Frec'!T71</f>
        <v>44.042677965422286</v>
      </c>
      <c r="E78" s="34">
        <f t="shared" si="39"/>
        <v>2</v>
      </c>
      <c r="F78" s="112">
        <f t="shared" si="45"/>
        <v>38.146463514576759</v>
      </c>
      <c r="G78" s="13">
        <v>55</v>
      </c>
      <c r="H78" s="18">
        <f t="shared" si="50"/>
        <v>41</v>
      </c>
      <c r="I78" s="18">
        <f t="shared" si="51"/>
        <v>40</v>
      </c>
      <c r="J78" s="18">
        <f t="shared" si="52"/>
        <v>39</v>
      </c>
      <c r="K78" s="79">
        <f t="shared" si="46"/>
        <v>0</v>
      </c>
      <c r="L78" s="33">
        <f t="shared" si="47"/>
        <v>0</v>
      </c>
      <c r="M78" s="98">
        <f t="shared" si="48"/>
        <v>0</v>
      </c>
      <c r="N78" s="66">
        <f t="shared" si="49"/>
        <v>0</v>
      </c>
      <c r="O78" s="99">
        <v>-10</v>
      </c>
      <c r="P78" s="33">
        <f t="shared" si="53"/>
        <v>-48.146463514576759</v>
      </c>
      <c r="Q78" s="97">
        <f t="shared" si="57"/>
        <v>1.5323347429421711E-5</v>
      </c>
      <c r="R78" s="34">
        <v>-11</v>
      </c>
      <c r="S78" s="33">
        <f t="shared" si="54"/>
        <v>-49.146463514576759</v>
      </c>
      <c r="T78" s="97">
        <f t="shared" si="43"/>
        <v>1.2171767513679418E-5</v>
      </c>
      <c r="U78" s="34">
        <v>-8</v>
      </c>
      <c r="V78" s="33">
        <f t="shared" si="58"/>
        <v>-46.146463514576759</v>
      </c>
      <c r="W78" s="97">
        <f t="shared" si="55"/>
        <v>2.4285869026607015E-5</v>
      </c>
      <c r="X78" s="34">
        <v>-8</v>
      </c>
      <c r="Y78" s="33">
        <f t="shared" si="56"/>
        <v>-46.146463514576759</v>
      </c>
      <c r="Z78" s="97">
        <f t="shared" si="41"/>
        <v>2.4285869026607015E-5</v>
      </c>
    </row>
    <row r="79" spans="2:26" x14ac:dyDescent="0.2">
      <c r="B79" s="13">
        <v>1250</v>
      </c>
      <c r="C79" s="33">
        <f>'3º Alta Frec'!J72</f>
        <v>36.306732035376271</v>
      </c>
      <c r="D79" s="33">
        <f>'3º Alta Frec'!T72</f>
        <v>45.393157191781853</v>
      </c>
      <c r="E79" s="34">
        <f t="shared" si="39"/>
        <v>2</v>
      </c>
      <c r="F79" s="112">
        <f t="shared" si="45"/>
        <v>38.811641303025141</v>
      </c>
      <c r="G79" s="13">
        <v>56</v>
      </c>
      <c r="H79" s="18">
        <f t="shared" si="50"/>
        <v>42</v>
      </c>
      <c r="I79" s="18">
        <f t="shared" si="51"/>
        <v>41</v>
      </c>
      <c r="J79" s="18">
        <f t="shared" si="52"/>
        <v>40</v>
      </c>
      <c r="K79" s="79">
        <f t="shared" si="46"/>
        <v>0</v>
      </c>
      <c r="L79" s="33">
        <f t="shared" si="47"/>
        <v>0</v>
      </c>
      <c r="M79" s="98">
        <f t="shared" si="48"/>
        <v>0</v>
      </c>
      <c r="N79" s="66">
        <f t="shared" si="49"/>
        <v>0</v>
      </c>
      <c r="O79" s="99">
        <v>-9</v>
      </c>
      <c r="P79" s="33">
        <f t="shared" si="53"/>
        <v>-47.811641303025141</v>
      </c>
      <c r="Q79" s="97">
        <f t="shared" si="57"/>
        <v>1.6551443265109789E-5</v>
      </c>
      <c r="R79" s="34">
        <v>-10</v>
      </c>
      <c r="S79" s="33">
        <f t="shared" si="54"/>
        <v>-48.811641303025141</v>
      </c>
      <c r="T79" s="97">
        <f t="shared" si="43"/>
        <v>1.3147278710913769E-5</v>
      </c>
      <c r="U79" s="34">
        <v>-9</v>
      </c>
      <c r="V79" s="33">
        <f t="shared" si="58"/>
        <v>-47.811641303025141</v>
      </c>
      <c r="W79" s="97">
        <f t="shared" si="55"/>
        <v>1.6551443265109789E-5</v>
      </c>
      <c r="X79" s="34">
        <v>-9</v>
      </c>
      <c r="Y79" s="33">
        <f t="shared" si="56"/>
        <v>-47.811641303025141</v>
      </c>
      <c r="Z79" s="97">
        <f t="shared" si="41"/>
        <v>1.6551443265109789E-5</v>
      </c>
    </row>
    <row r="80" spans="2:26" x14ac:dyDescent="0.2">
      <c r="B80" s="13">
        <v>1600</v>
      </c>
      <c r="C80" s="33">
        <f>'3º Alta Frec'!J73</f>
        <v>37.258406192274741</v>
      </c>
      <c r="D80" s="33">
        <f>'3º Alta Frec'!T73</f>
        <v>45.805614379159415</v>
      </c>
      <c r="E80" s="34">
        <f t="shared" si="39"/>
        <v>2</v>
      </c>
      <c r="F80" s="112">
        <f t="shared" si="45"/>
        <v>39.700699195063947</v>
      </c>
      <c r="G80" s="13">
        <v>56</v>
      </c>
      <c r="H80" s="18">
        <f t="shared" si="50"/>
        <v>42</v>
      </c>
      <c r="I80" s="18">
        <f t="shared" si="51"/>
        <v>41</v>
      </c>
      <c r="J80" s="18">
        <f t="shared" si="52"/>
        <v>40</v>
      </c>
      <c r="K80" s="79">
        <f t="shared" si="46"/>
        <v>0</v>
      </c>
      <c r="L80" s="33">
        <f t="shared" si="47"/>
        <v>0</v>
      </c>
      <c r="M80" s="98">
        <f t="shared" si="48"/>
        <v>0</v>
      </c>
      <c r="N80" s="66">
        <f t="shared" si="49"/>
        <v>0</v>
      </c>
      <c r="O80" s="99">
        <v>-9</v>
      </c>
      <c r="P80" s="33">
        <f t="shared" si="53"/>
        <v>-48.700699195063947</v>
      </c>
      <c r="Q80" s="97">
        <f t="shared" si="57"/>
        <v>1.3487457229666182E-5</v>
      </c>
      <c r="R80" s="34">
        <v>-10</v>
      </c>
      <c r="S80" s="33">
        <f t="shared" si="54"/>
        <v>-49.700699195063947</v>
      </c>
      <c r="T80" s="97">
        <f t="shared" si="43"/>
        <v>1.071346809215996E-5</v>
      </c>
      <c r="U80" s="34">
        <v>-10</v>
      </c>
      <c r="V80" s="33">
        <f t="shared" si="58"/>
        <v>-49.700699195063947</v>
      </c>
      <c r="W80" s="97">
        <f t="shared" si="55"/>
        <v>1.071346809215996E-5</v>
      </c>
      <c r="X80" s="34">
        <v>-10</v>
      </c>
      <c r="Y80" s="33">
        <f t="shared" si="56"/>
        <v>-49.700699195063947</v>
      </c>
      <c r="Z80" s="97">
        <f t="shared" si="41"/>
        <v>1.071346809215996E-5</v>
      </c>
    </row>
    <row r="81" spans="2:26" x14ac:dyDescent="0.2">
      <c r="B81" s="13">
        <v>2000</v>
      </c>
      <c r="C81" s="33">
        <f>'3º Alta Frec'!J74</f>
        <v>38.749390719287099</v>
      </c>
      <c r="D81" s="33">
        <f>'3º Alta Frec'!T74</f>
        <v>46.521168176390979</v>
      </c>
      <c r="E81" s="34">
        <f t="shared" si="39"/>
        <v>2</v>
      </c>
      <c r="F81" s="112">
        <f t="shared" si="45"/>
        <v>41.088830721913531</v>
      </c>
      <c r="G81" s="13">
        <v>56</v>
      </c>
      <c r="H81" s="18">
        <f t="shared" si="50"/>
        <v>42</v>
      </c>
      <c r="I81" s="18">
        <f t="shared" si="51"/>
        <v>41</v>
      </c>
      <c r="J81" s="18">
        <f t="shared" si="52"/>
        <v>40</v>
      </c>
      <c r="K81" s="79">
        <f t="shared" si="46"/>
        <v>0</v>
      </c>
      <c r="L81" s="33">
        <f t="shared" si="47"/>
        <v>0</v>
      </c>
      <c r="M81" s="98">
        <f t="shared" si="48"/>
        <v>8.8830721913531363E-2</v>
      </c>
      <c r="N81" s="66">
        <f t="shared" si="49"/>
        <v>1.0888307219135314</v>
      </c>
      <c r="O81" s="99">
        <v>-9</v>
      </c>
      <c r="P81" s="33">
        <f t="shared" si="53"/>
        <v>-50.088830721913531</v>
      </c>
      <c r="Q81" s="97">
        <f t="shared" si="57"/>
        <v>9.7975373510274857E-6</v>
      </c>
      <c r="R81" s="34">
        <v>-10</v>
      </c>
      <c r="S81" s="33">
        <f t="shared" si="54"/>
        <v>-51.088830721913531</v>
      </c>
      <c r="T81" s="97">
        <f t="shared" si="43"/>
        <v>7.7824605486868836E-6</v>
      </c>
      <c r="U81" s="34">
        <v>-11</v>
      </c>
      <c r="V81" s="33">
        <f t="shared" si="58"/>
        <v>-52.088830721913531</v>
      </c>
      <c r="W81" s="97">
        <f t="shared" si="55"/>
        <v>6.1818281494498103E-6</v>
      </c>
      <c r="X81" s="34">
        <v>-11</v>
      </c>
      <c r="Y81" s="33">
        <f t="shared" si="56"/>
        <v>-52.088830721913531</v>
      </c>
      <c r="Z81" s="97">
        <f t="shared" si="41"/>
        <v>6.1818281494498103E-6</v>
      </c>
    </row>
    <row r="82" spans="2:26" x14ac:dyDescent="0.2">
      <c r="B82" s="13">
        <v>2500</v>
      </c>
      <c r="C82" s="33">
        <f>'3º Alta Frec'!J75</f>
        <v>37.855127092437783</v>
      </c>
      <c r="D82" s="33">
        <f>'3º Alta Frec'!T75</f>
        <v>46.051760715146933</v>
      </c>
      <c r="E82" s="34">
        <f t="shared" si="39"/>
        <v>2</v>
      </c>
      <c r="F82" s="112">
        <f t="shared" si="45"/>
        <v>40.252887603359454</v>
      </c>
      <c r="G82" s="13">
        <v>56</v>
      </c>
      <c r="H82" s="18">
        <f t="shared" si="50"/>
        <v>42</v>
      </c>
      <c r="I82" s="18">
        <f t="shared" si="51"/>
        <v>41</v>
      </c>
      <c r="J82" s="18">
        <f t="shared" si="52"/>
        <v>40</v>
      </c>
      <c r="K82" s="79">
        <f t="shared" si="46"/>
        <v>0</v>
      </c>
      <c r="L82" s="33">
        <f t="shared" si="47"/>
        <v>0</v>
      </c>
      <c r="M82" s="98">
        <f t="shared" si="48"/>
        <v>0</v>
      </c>
      <c r="N82" s="66">
        <f t="shared" si="49"/>
        <v>0.25288760335945426</v>
      </c>
      <c r="O82" s="99">
        <v>-9</v>
      </c>
      <c r="P82" s="33">
        <f t="shared" si="53"/>
        <v>-49.252887603359454</v>
      </c>
      <c r="Q82" s="97">
        <f t="shared" si="57"/>
        <v>1.1877122606090228E-5</v>
      </c>
      <c r="R82" s="34">
        <v>-10</v>
      </c>
      <c r="S82" s="33">
        <f t="shared" si="54"/>
        <v>-50.252887603359454</v>
      </c>
      <c r="T82" s="97">
        <f t="shared" si="43"/>
        <v>9.4343338332995183E-6</v>
      </c>
      <c r="U82" s="34">
        <v>-13</v>
      </c>
      <c r="V82" s="33">
        <f t="shared" si="58"/>
        <v>-53.252887603359454</v>
      </c>
      <c r="W82" s="97">
        <f t="shared" si="55"/>
        <v>4.7283676750275625E-6</v>
      </c>
      <c r="X82" s="34">
        <v>-13</v>
      </c>
      <c r="Y82" s="33">
        <f t="shared" si="56"/>
        <v>-53.252887603359454</v>
      </c>
      <c r="Z82" s="97">
        <f t="shared" si="41"/>
        <v>4.7283676750275625E-6</v>
      </c>
    </row>
    <row r="83" spans="2:26" x14ac:dyDescent="0.2">
      <c r="B83" s="13">
        <v>3150</v>
      </c>
      <c r="C83" s="33">
        <f>'3º Alta Frec'!J76</f>
        <v>35.688416504683765</v>
      </c>
      <c r="D83" s="33">
        <f>'3º Alta Frec'!T76</f>
        <v>42.879413689184027</v>
      </c>
      <c r="E83" s="34">
        <f t="shared" si="39"/>
        <v>2</v>
      </c>
      <c r="F83" s="112">
        <f t="shared" si="45"/>
        <v>37.939812247825188</v>
      </c>
      <c r="G83" s="13">
        <v>56</v>
      </c>
      <c r="H83" s="18">
        <f t="shared" si="50"/>
        <v>42</v>
      </c>
      <c r="I83" s="18">
        <f t="shared" si="51"/>
        <v>41</v>
      </c>
      <c r="J83" s="18">
        <f t="shared" si="52"/>
        <v>40</v>
      </c>
      <c r="K83" s="79">
        <f t="shared" si="46"/>
        <v>0</v>
      </c>
      <c r="L83" s="33">
        <f t="shared" si="47"/>
        <v>0</v>
      </c>
      <c r="M83" s="98">
        <f t="shared" si="48"/>
        <v>0</v>
      </c>
      <c r="N83" s="66">
        <f t="shared" si="49"/>
        <v>0</v>
      </c>
      <c r="O83" s="99">
        <v>-9</v>
      </c>
      <c r="P83" s="33">
        <f t="shared" si="53"/>
        <v>-46.939812247825188</v>
      </c>
      <c r="Q83" s="97">
        <f t="shared" si="57"/>
        <v>2.0231066387950015E-5</v>
      </c>
      <c r="R83" s="34">
        <v>-10</v>
      </c>
      <c r="S83" s="33">
        <f t="shared" si="54"/>
        <v>-47.939812247825188</v>
      </c>
      <c r="T83" s="97">
        <f t="shared" si="43"/>
        <v>1.6070107250530096E-5</v>
      </c>
      <c r="U83" s="34">
        <v>-15</v>
      </c>
      <c r="V83" s="33">
        <f t="shared" si="58"/>
        <v>-52.939812247825188</v>
      </c>
      <c r="W83" s="97">
        <f t="shared" si="55"/>
        <v>5.0818141154861273E-6</v>
      </c>
      <c r="X83" s="34">
        <v>-15</v>
      </c>
      <c r="Y83" s="33">
        <f t="shared" si="56"/>
        <v>-52.939812247825188</v>
      </c>
      <c r="Z83" s="97">
        <f t="shared" si="41"/>
        <v>5.0818141154861273E-6</v>
      </c>
    </row>
    <row r="84" spans="2:26" x14ac:dyDescent="0.2">
      <c r="B84" s="13">
        <v>4000</v>
      </c>
      <c r="C84" s="33">
        <f>'3º Alta Frec'!J77</f>
        <v>36.201822931817553</v>
      </c>
      <c r="D84" s="33">
        <f>'3º Alta Frec'!T77</f>
        <v>44.582247133485161</v>
      </c>
      <c r="E84" s="34">
        <f t="shared" si="39"/>
        <v>2</v>
      </c>
      <c r="F84" s="112">
        <f t="shared" si="45"/>
        <v>38.623320952282377</v>
      </c>
      <c r="G84" s="13"/>
      <c r="H84" s="18"/>
      <c r="I84" s="18"/>
      <c r="J84" s="18"/>
      <c r="K84" s="13"/>
      <c r="L84" s="18"/>
      <c r="M84" s="95"/>
      <c r="N84" s="96"/>
      <c r="O84" s="99"/>
      <c r="P84" s="18"/>
      <c r="Q84" s="97"/>
      <c r="R84" s="34">
        <v>-10</v>
      </c>
      <c r="S84" s="33">
        <f t="shared" si="54"/>
        <v>-48.623320952282377</v>
      </c>
      <c r="T84" s="97">
        <f t="shared" si="43"/>
        <v>1.3729916776205244E-5</v>
      </c>
      <c r="U84" s="18"/>
      <c r="V84" s="18"/>
      <c r="W84" s="97"/>
      <c r="X84" s="34">
        <v>-16</v>
      </c>
      <c r="Y84" s="33">
        <f t="shared" si="56"/>
        <v>-54.623320952282377</v>
      </c>
      <c r="Z84" s="97">
        <f t="shared" si="41"/>
        <v>3.4487991655905786E-6</v>
      </c>
    </row>
    <row r="85" spans="2:26" x14ac:dyDescent="0.2">
      <c r="B85" s="15">
        <v>5000</v>
      </c>
      <c r="C85" s="33">
        <f>'3º Alta Frec'!J78</f>
        <v>39.459073204930974</v>
      </c>
      <c r="D85" s="33">
        <f>'3º Alta Frec'!T78</f>
        <v>47.81535174215476</v>
      </c>
      <c r="E85" s="24">
        <f t="shared" si="39"/>
        <v>2</v>
      </c>
      <c r="F85" s="113">
        <f t="shared" si="45"/>
        <v>41.877502408759817</v>
      </c>
      <c r="G85" s="15"/>
      <c r="H85" s="16"/>
      <c r="I85" s="16"/>
      <c r="J85" s="16"/>
      <c r="K85" s="13"/>
      <c r="L85" s="18"/>
      <c r="M85" s="95"/>
      <c r="N85" s="96"/>
      <c r="O85" s="13"/>
      <c r="P85" s="18"/>
      <c r="Q85" s="97"/>
      <c r="R85" s="34">
        <v>-10</v>
      </c>
      <c r="S85" s="33">
        <f t="shared" si="54"/>
        <v>-51.877502408759817</v>
      </c>
      <c r="T85" s="97">
        <f t="shared" si="43"/>
        <v>6.4900756506778918E-6</v>
      </c>
      <c r="U85" s="18"/>
      <c r="V85" s="18"/>
      <c r="W85" s="97"/>
      <c r="X85" s="34">
        <v>-18</v>
      </c>
      <c r="Y85" s="33">
        <f t="shared" si="56"/>
        <v>-59.877502408759817</v>
      </c>
      <c r="Z85" s="97">
        <f t="shared" si="41"/>
        <v>1.028607671731703E-6</v>
      </c>
    </row>
    <row r="86" spans="2:26" x14ac:dyDescent="0.2">
      <c r="K86" s="80">
        <f>SUM(K68:K83)</f>
        <v>0</v>
      </c>
      <c r="L86" s="23">
        <f t="shared" ref="L86:N86" si="59">SUM(L68:L83)</f>
        <v>22.183513652180551</v>
      </c>
      <c r="M86" s="102">
        <f t="shared" si="59"/>
        <v>27.272344374094082</v>
      </c>
      <c r="N86" s="68">
        <f t="shared" si="59"/>
        <v>33.525231977453537</v>
      </c>
      <c r="O86" s="79" t="s">
        <v>128</v>
      </c>
      <c r="P86" s="33">
        <f>52-15</f>
        <v>37</v>
      </c>
      <c r="Q86" s="103">
        <f>-10*LOG10(SUM(Q65:Q85))</f>
        <v>36.572571103612241</v>
      </c>
      <c r="R86" s="34"/>
      <c r="S86" s="33"/>
      <c r="T86" s="103">
        <f>-10*LOG10(SUM(T65:T85))</f>
        <v>37.028649237480025</v>
      </c>
      <c r="U86" s="33"/>
      <c r="V86" s="33"/>
      <c r="W86" s="103">
        <f>-10*LOG10(SUM(W65:W85))</f>
        <v>34.902040914873595</v>
      </c>
      <c r="X86" s="34"/>
      <c r="Y86" s="33"/>
      <c r="Z86" s="103">
        <f>-10*LOG10(SUM(Z65:Z85))</f>
        <v>33.831055005756518</v>
      </c>
    </row>
    <row r="87" spans="2:26" x14ac:dyDescent="0.2">
      <c r="O87" s="15"/>
      <c r="P87" s="16"/>
      <c r="Q87" s="114">
        <f>ROUND(Q86,0)-P86</f>
        <v>0</v>
      </c>
      <c r="R87" s="16"/>
      <c r="S87" s="16"/>
      <c r="T87" s="114">
        <f>ROUND(T86,0)-P86</f>
        <v>0</v>
      </c>
      <c r="U87" s="16"/>
      <c r="V87" s="16"/>
      <c r="W87" s="114">
        <f>ROUND(W86,0)-P86</f>
        <v>-2</v>
      </c>
      <c r="X87" s="16"/>
      <c r="Y87" s="16"/>
      <c r="Z87" s="114">
        <f>ROUND(Z86,0)-P86</f>
        <v>-3</v>
      </c>
    </row>
    <row r="89" spans="2:26" x14ac:dyDescent="0.2">
      <c r="D89" s="2" t="s">
        <v>92</v>
      </c>
    </row>
    <row r="91" spans="2:26" x14ac:dyDescent="0.2">
      <c r="F91" s="172" t="s">
        <v>45</v>
      </c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4"/>
    </row>
    <row r="92" spans="2:26" x14ac:dyDescent="0.2">
      <c r="B92" s="47"/>
      <c r="C92" s="48"/>
      <c r="D92" s="48"/>
      <c r="E92" s="48"/>
      <c r="F92" s="184"/>
      <c r="G92" s="162" t="s">
        <v>96</v>
      </c>
      <c r="H92" s="163"/>
      <c r="I92" s="163"/>
      <c r="J92" s="163"/>
      <c r="K92" s="186" t="s">
        <v>95</v>
      </c>
      <c r="L92" s="187"/>
      <c r="M92" s="187"/>
      <c r="N92" s="188"/>
      <c r="O92" s="189" t="s">
        <v>99</v>
      </c>
      <c r="P92" s="190"/>
      <c r="Q92" s="191"/>
      <c r="R92" s="192" t="s">
        <v>97</v>
      </c>
      <c r="S92" s="192"/>
      <c r="T92" s="193"/>
      <c r="U92" s="190" t="s">
        <v>100</v>
      </c>
      <c r="V92" s="190"/>
      <c r="W92" s="191"/>
      <c r="X92" s="192" t="s">
        <v>98</v>
      </c>
      <c r="Y92" s="192"/>
      <c r="Z92" s="193"/>
    </row>
    <row r="93" spans="2:26" ht="31" customHeight="1" x14ac:dyDescent="0.2">
      <c r="B93" s="28"/>
      <c r="C93" s="29"/>
      <c r="D93" s="29"/>
      <c r="E93" s="29" t="s">
        <v>50</v>
      </c>
      <c r="F93" s="185"/>
      <c r="G93" s="15" t="s">
        <v>94</v>
      </c>
      <c r="H93" s="16" t="s">
        <v>117</v>
      </c>
      <c r="I93" s="16" t="s">
        <v>116</v>
      </c>
      <c r="J93" s="16" t="s">
        <v>118</v>
      </c>
      <c r="K93" s="15" t="s">
        <v>94</v>
      </c>
      <c r="L93" s="16" t="s">
        <v>117</v>
      </c>
      <c r="M93" s="16" t="s">
        <v>116</v>
      </c>
      <c r="N93" s="16" t="s">
        <v>118</v>
      </c>
      <c r="O93" s="142" t="s">
        <v>126</v>
      </c>
      <c r="P93" s="143"/>
      <c r="Q93" s="145"/>
      <c r="R93" s="144" t="s">
        <v>126</v>
      </c>
      <c r="S93" s="144"/>
      <c r="T93" s="145"/>
      <c r="U93" s="144" t="s">
        <v>126</v>
      </c>
      <c r="V93" s="143"/>
      <c r="W93" s="145"/>
      <c r="X93" s="144" t="s">
        <v>126</v>
      </c>
      <c r="Y93" s="144"/>
      <c r="Z93" s="145"/>
    </row>
    <row r="94" spans="2:26" x14ac:dyDescent="0.2">
      <c r="B94" s="13">
        <v>50</v>
      </c>
      <c r="C94" s="33">
        <f>'3º Alta Frec'!J85</f>
        <v>29.038596126793482</v>
      </c>
      <c r="D94" s="33">
        <f>'3º Alta Frec'!T85</f>
        <v>26.082285307710652</v>
      </c>
      <c r="E94" s="34">
        <f t="shared" ref="E94:E114" si="60">COUNT(C94:D94)</f>
        <v>2</v>
      </c>
      <c r="F94" s="14">
        <v>25.364460020568984</v>
      </c>
      <c r="G94" s="13"/>
      <c r="H94" s="18"/>
      <c r="I94" s="18"/>
      <c r="J94" s="18"/>
      <c r="K94" s="13"/>
      <c r="L94" s="18"/>
      <c r="M94" s="95"/>
      <c r="N94" s="96"/>
      <c r="O94" s="13"/>
      <c r="P94" s="18"/>
      <c r="Q94" s="97"/>
      <c r="R94" s="34">
        <v>-41</v>
      </c>
      <c r="S94" s="33">
        <f>R94-F94</f>
        <v>-66.364460020568984</v>
      </c>
      <c r="T94" s="97">
        <f>10^(S94/10)</f>
        <v>2.3096916162481318E-7</v>
      </c>
      <c r="U94" s="18"/>
      <c r="V94" s="18"/>
      <c r="W94" s="97"/>
      <c r="X94" s="34">
        <v>-25</v>
      </c>
      <c r="Y94" s="33">
        <f t="shared" ref="Y94" si="61">X94-F94</f>
        <v>-50.364460020568984</v>
      </c>
      <c r="Z94" s="97">
        <f t="shared" ref="Z94:Z114" si="62">10^(Y94/10)</f>
        <v>9.1950479419567663E-6</v>
      </c>
    </row>
    <row r="95" spans="2:26" x14ac:dyDescent="0.2">
      <c r="B95" s="13">
        <v>63</v>
      </c>
      <c r="C95" s="33">
        <f>'3º Alta Frec'!J86</f>
        <v>35.517901664670447</v>
      </c>
      <c r="D95" s="33">
        <f>'3º Alta Frec'!T86</f>
        <v>28.838523013881705</v>
      </c>
      <c r="E95" s="34">
        <f t="shared" si="60"/>
        <v>2</v>
      </c>
      <c r="F95" s="14">
        <v>21.808392855689913</v>
      </c>
      <c r="G95" s="13"/>
      <c r="H95" s="18"/>
      <c r="I95" s="18"/>
      <c r="J95" s="18"/>
      <c r="K95" s="13"/>
      <c r="L95" s="18"/>
      <c r="M95" s="95"/>
      <c r="N95" s="96"/>
      <c r="O95" s="13"/>
      <c r="P95" s="18"/>
      <c r="Q95" s="97"/>
      <c r="R95" s="34">
        <v>-37</v>
      </c>
      <c r="S95" s="33">
        <f t="shared" ref="S95:S96" si="63">R95-F95</f>
        <v>-58.808392855689917</v>
      </c>
      <c r="T95" s="97">
        <f t="shared" ref="T95:T114" si="64">10^(S95/10)</f>
        <v>1.3157116325889162E-6</v>
      </c>
      <c r="U95" s="18"/>
      <c r="V95" s="18"/>
      <c r="W95" s="97"/>
      <c r="X95" s="34">
        <v>-23</v>
      </c>
      <c r="Y95" s="33">
        <f>X95-F95</f>
        <v>-44.808392855689917</v>
      </c>
      <c r="Z95" s="97">
        <f t="shared" si="62"/>
        <v>3.3049181976794136E-5</v>
      </c>
    </row>
    <row r="96" spans="2:26" x14ac:dyDescent="0.2">
      <c r="B96" s="13">
        <v>80</v>
      </c>
      <c r="C96" s="33">
        <f>'3º Alta Frec'!J87</f>
        <v>29.47178883386977</v>
      </c>
      <c r="D96" s="33">
        <f>'3º Alta Frec'!T87</f>
        <v>26.714723178261199</v>
      </c>
      <c r="E96" s="34">
        <f t="shared" si="60"/>
        <v>2</v>
      </c>
      <c r="F96" s="14">
        <v>23.782698559224606</v>
      </c>
      <c r="G96" s="13"/>
      <c r="H96" s="18"/>
      <c r="I96" s="18"/>
      <c r="J96" s="18"/>
      <c r="K96" s="13"/>
      <c r="L96" s="18"/>
      <c r="M96" s="95"/>
      <c r="N96" s="96"/>
      <c r="O96" s="13"/>
      <c r="P96" s="18"/>
      <c r="Q96" s="97"/>
      <c r="R96" s="34">
        <v>-34</v>
      </c>
      <c r="S96" s="33">
        <f t="shared" si="63"/>
        <v>-57.782698559224606</v>
      </c>
      <c r="T96" s="97">
        <f t="shared" si="64"/>
        <v>1.6662115632376725E-6</v>
      </c>
      <c r="U96" s="18"/>
      <c r="V96" s="18"/>
      <c r="W96" s="97"/>
      <c r="X96" s="34">
        <v>-21</v>
      </c>
      <c r="Y96" s="33">
        <f t="shared" ref="Y96" si="65">X96-F96</f>
        <v>-44.782698559224606</v>
      </c>
      <c r="Z96" s="97">
        <f t="shared" si="62"/>
        <v>3.3245291408935141E-5</v>
      </c>
    </row>
    <row r="97" spans="2:26" x14ac:dyDescent="0.2">
      <c r="B97" s="13">
        <v>100</v>
      </c>
      <c r="C97" s="33">
        <f>'3º Alta Frec'!J88</f>
        <v>33.097563581095848</v>
      </c>
      <c r="D97" s="33">
        <f>'3º Alta Frec'!T88</f>
        <v>35.413308590075466</v>
      </c>
      <c r="E97" s="34">
        <f t="shared" si="60"/>
        <v>2</v>
      </c>
      <c r="F97" s="112">
        <f t="shared" ref="F97:F114" si="66">-10*LOG10((10^(-C97/10)+10^(-D97/10))/E97)</f>
        <v>34.102880522313363</v>
      </c>
      <c r="G97" s="13">
        <v>33</v>
      </c>
      <c r="H97" s="18">
        <f>$G97-10</f>
        <v>23</v>
      </c>
      <c r="I97" s="18">
        <f>$G97-11</f>
        <v>22</v>
      </c>
      <c r="J97" s="34">
        <f>$G97-12</f>
        <v>21</v>
      </c>
      <c r="K97" s="79">
        <f t="shared" ref="K97:K112" si="67">IF((F97-G97)&gt;0,F97-G97,0)</f>
        <v>1.1028805223133631</v>
      </c>
      <c r="L97" s="33">
        <f t="shared" ref="L97:L112" si="68">IF((F97-H97)&gt;0,F97-H97,0)</f>
        <v>11.102880522313363</v>
      </c>
      <c r="M97" s="98">
        <f t="shared" ref="M97:M112" si="69">IF((F97-I97)&gt;0,F97-I97,0)</f>
        <v>12.102880522313363</v>
      </c>
      <c r="N97" s="66">
        <f t="shared" ref="N97:N112" si="70">IF((F97-J97)&gt;0,F97-J97,0)</f>
        <v>13.102880522313363</v>
      </c>
      <c r="O97" s="99">
        <v>-29</v>
      </c>
      <c r="P97" s="33">
        <f>O97-F97</f>
        <v>-63.102880522313363</v>
      </c>
      <c r="Q97" s="97">
        <f>10^(P97/10)</f>
        <v>4.8945407403854041E-7</v>
      </c>
      <c r="R97" s="34">
        <v>-30</v>
      </c>
      <c r="S97" s="33">
        <f>R97-F97</f>
        <v>-64.10288052231337</v>
      </c>
      <c r="T97" s="97">
        <f>10^(S97/10)</f>
        <v>3.8878719060964122E-7</v>
      </c>
      <c r="U97" s="34">
        <v>-20</v>
      </c>
      <c r="V97" s="33">
        <f>U97-F97</f>
        <v>-54.102880522313363</v>
      </c>
      <c r="W97" s="97">
        <f>10^(V97/10)</f>
        <v>3.8878719060964169E-6</v>
      </c>
      <c r="X97" s="34">
        <v>-20</v>
      </c>
      <c r="Y97" s="33">
        <f>X97-F97</f>
        <v>-54.102880522313363</v>
      </c>
      <c r="Z97" s="97">
        <f>10^(Y97/10)</f>
        <v>3.8878719060964169E-6</v>
      </c>
    </row>
    <row r="98" spans="2:26" x14ac:dyDescent="0.2">
      <c r="B98" s="13">
        <v>125</v>
      </c>
      <c r="C98" s="33">
        <f>'3º Alta Frec'!J89</f>
        <v>26.294918184987647</v>
      </c>
      <c r="D98" s="33">
        <f>'3º Alta Frec'!T89</f>
        <v>34.854328842992423</v>
      </c>
      <c r="E98" s="34">
        <f t="shared" si="60"/>
        <v>2</v>
      </c>
      <c r="F98" s="112">
        <f t="shared" si="66"/>
        <v>28.73870532676537</v>
      </c>
      <c r="G98" s="13">
        <v>36</v>
      </c>
      <c r="H98" s="18">
        <f t="shared" ref="H98:H112" si="71">$G98-10</f>
        <v>26</v>
      </c>
      <c r="I98" s="18">
        <f t="shared" ref="I98:I112" si="72">$G98-11</f>
        <v>25</v>
      </c>
      <c r="J98" s="34">
        <f t="shared" ref="J98:J112" si="73">$G98-12</f>
        <v>24</v>
      </c>
      <c r="K98" s="79">
        <f t="shared" si="67"/>
        <v>0</v>
      </c>
      <c r="L98" s="33">
        <f t="shared" si="68"/>
        <v>2.7387053267653698</v>
      </c>
      <c r="M98" s="98">
        <f t="shared" si="69"/>
        <v>3.7387053267653698</v>
      </c>
      <c r="N98" s="66">
        <f t="shared" si="70"/>
        <v>4.7387053267653698</v>
      </c>
      <c r="O98" s="99">
        <v>-26</v>
      </c>
      <c r="P98" s="33">
        <f t="shared" ref="P98:P112" si="74">O98-F98</f>
        <v>-54.73870532676537</v>
      </c>
      <c r="Q98" s="97">
        <f>10^(P98/10)</f>
        <v>3.3583771574487995E-6</v>
      </c>
      <c r="R98" s="34">
        <v>-27</v>
      </c>
      <c r="S98" s="33">
        <f t="shared" ref="S98:S114" si="75">R98-F98</f>
        <v>-55.73870532676537</v>
      </c>
      <c r="T98" s="97">
        <f t="shared" si="64"/>
        <v>2.6676537990146576E-6</v>
      </c>
      <c r="U98" s="34">
        <v>-20</v>
      </c>
      <c r="V98" s="33">
        <f>U98-F98</f>
        <v>-48.73870532676537</v>
      </c>
      <c r="W98" s="97">
        <f t="shared" ref="W98:W112" si="76">10^(V98/10)</f>
        <v>1.3369940278034401E-5</v>
      </c>
      <c r="X98" s="34">
        <v>-20</v>
      </c>
      <c r="Y98" s="33">
        <f t="shared" ref="Y98:Y114" si="77">X98-F98</f>
        <v>-48.73870532676537</v>
      </c>
      <c r="Z98" s="97">
        <f t="shared" si="62"/>
        <v>1.3369940278034401E-5</v>
      </c>
    </row>
    <row r="99" spans="2:26" x14ac:dyDescent="0.2">
      <c r="B99" s="13">
        <v>160</v>
      </c>
      <c r="C99" s="33">
        <f>'3º Alta Frec'!J90</f>
        <v>30.078525626003309</v>
      </c>
      <c r="D99" s="33">
        <f>'3º Alta Frec'!T90</f>
        <v>36.812431816383011</v>
      </c>
      <c r="E99" s="34">
        <f t="shared" si="60"/>
        <v>2</v>
      </c>
      <c r="F99" s="112">
        <f t="shared" si="66"/>
        <v>32.253320825635122</v>
      </c>
      <c r="G99" s="13">
        <v>39</v>
      </c>
      <c r="H99" s="18">
        <f t="shared" si="71"/>
        <v>29</v>
      </c>
      <c r="I99" s="18">
        <f t="shared" si="72"/>
        <v>28</v>
      </c>
      <c r="J99" s="34">
        <f t="shared" si="73"/>
        <v>27</v>
      </c>
      <c r="K99" s="79">
        <f t="shared" si="67"/>
        <v>0</v>
      </c>
      <c r="L99" s="33">
        <f t="shared" si="68"/>
        <v>3.2533208256351216</v>
      </c>
      <c r="M99" s="98">
        <f t="shared" si="69"/>
        <v>4.2533208256351216</v>
      </c>
      <c r="N99" s="66">
        <f t="shared" si="70"/>
        <v>5.2533208256351216</v>
      </c>
      <c r="O99" s="99">
        <v>-23</v>
      </c>
      <c r="P99" s="33">
        <f t="shared" si="74"/>
        <v>-55.253320825635122</v>
      </c>
      <c r="Q99" s="97">
        <f t="shared" ref="Q99:Q112" si="78">10^(P99/10)</f>
        <v>2.9831007235282394E-6</v>
      </c>
      <c r="R99" s="34">
        <v>-24</v>
      </c>
      <c r="S99" s="33">
        <f t="shared" si="75"/>
        <v>-56.253320825635122</v>
      </c>
      <c r="T99" s="97">
        <f t="shared" si="64"/>
        <v>2.3695611317249152E-6</v>
      </c>
      <c r="U99" s="34">
        <v>-18</v>
      </c>
      <c r="V99" s="33">
        <f t="shared" ref="V99:V112" si="79">U99-F99</f>
        <v>-50.253320825635122</v>
      </c>
      <c r="W99" s="97">
        <f t="shared" si="76"/>
        <v>9.4333927760454859E-6</v>
      </c>
      <c r="X99" s="34">
        <v>-18</v>
      </c>
      <c r="Y99" s="33">
        <f t="shared" si="77"/>
        <v>-50.253320825635122</v>
      </c>
      <c r="Z99" s="97">
        <f t="shared" si="62"/>
        <v>9.4333927760454859E-6</v>
      </c>
    </row>
    <row r="100" spans="2:26" x14ac:dyDescent="0.2">
      <c r="B100" s="13">
        <v>200</v>
      </c>
      <c r="C100" s="33">
        <f>'3º Alta Frec'!J91</f>
        <v>36.488666880881837</v>
      </c>
      <c r="D100" s="33">
        <f>'3º Alta Frec'!T91</f>
        <v>34.551107246200473</v>
      </c>
      <c r="E100" s="34">
        <f t="shared" si="60"/>
        <v>2</v>
      </c>
      <c r="F100" s="112">
        <f t="shared" si="66"/>
        <v>35.412718710932857</v>
      </c>
      <c r="G100" s="13">
        <v>42</v>
      </c>
      <c r="H100" s="18">
        <f t="shared" si="71"/>
        <v>32</v>
      </c>
      <c r="I100" s="18">
        <f t="shared" si="72"/>
        <v>31</v>
      </c>
      <c r="J100" s="34">
        <f t="shared" si="73"/>
        <v>30</v>
      </c>
      <c r="K100" s="79">
        <f t="shared" si="67"/>
        <v>0</v>
      </c>
      <c r="L100" s="33">
        <f t="shared" si="68"/>
        <v>3.4127187109328574</v>
      </c>
      <c r="M100" s="98">
        <f t="shared" si="69"/>
        <v>4.4127187109328574</v>
      </c>
      <c r="N100" s="66">
        <f t="shared" si="70"/>
        <v>5.4127187109328574</v>
      </c>
      <c r="O100" s="99">
        <v>-21</v>
      </c>
      <c r="P100" s="33">
        <f t="shared" si="74"/>
        <v>-56.412718710932857</v>
      </c>
      <c r="Q100" s="97">
        <f t="shared" si="78"/>
        <v>2.2841684518156805E-6</v>
      </c>
      <c r="R100" s="34">
        <v>-22</v>
      </c>
      <c r="S100" s="33">
        <f t="shared" si="75"/>
        <v>-57.412718710932857</v>
      </c>
      <c r="T100" s="97">
        <f t="shared" si="64"/>
        <v>1.8143794941436461E-6</v>
      </c>
      <c r="U100" s="34">
        <v>-16</v>
      </c>
      <c r="V100" s="33">
        <f t="shared" si="79"/>
        <v>-51.412718710932857</v>
      </c>
      <c r="W100" s="97">
        <f t="shared" si="76"/>
        <v>7.2231748672381231E-6</v>
      </c>
      <c r="X100" s="34">
        <v>-16</v>
      </c>
      <c r="Y100" s="33">
        <f t="shared" si="77"/>
        <v>-51.412718710932857</v>
      </c>
      <c r="Z100" s="97">
        <f t="shared" si="62"/>
        <v>7.2231748672381231E-6</v>
      </c>
    </row>
    <row r="101" spans="2:26" x14ac:dyDescent="0.2">
      <c r="B101" s="13">
        <v>250</v>
      </c>
      <c r="C101" s="33">
        <f>'3º Alta Frec'!J92</f>
        <v>36.97397690164243</v>
      </c>
      <c r="D101" s="33">
        <f>'3º Alta Frec'!T92</f>
        <v>32.269674648933758</v>
      </c>
      <c r="E101" s="34">
        <f t="shared" si="60"/>
        <v>2</v>
      </c>
      <c r="F101" s="112">
        <f t="shared" si="66"/>
        <v>34.013762774408065</v>
      </c>
      <c r="G101" s="100">
        <v>45</v>
      </c>
      <c r="H101" s="18">
        <f t="shared" si="71"/>
        <v>35</v>
      </c>
      <c r="I101" s="18">
        <f t="shared" si="72"/>
        <v>34</v>
      </c>
      <c r="J101" s="34">
        <f t="shared" si="73"/>
        <v>33</v>
      </c>
      <c r="K101" s="79">
        <f t="shared" si="67"/>
        <v>0</v>
      </c>
      <c r="L101" s="33">
        <f t="shared" si="68"/>
        <v>0</v>
      </c>
      <c r="M101" s="98">
        <f t="shared" si="69"/>
        <v>1.3762774408064615E-2</v>
      </c>
      <c r="N101" s="66">
        <f t="shared" si="70"/>
        <v>1.0137627744080646</v>
      </c>
      <c r="O101" s="99">
        <v>-19</v>
      </c>
      <c r="P101" s="33">
        <f t="shared" si="74"/>
        <v>-53.013762774408065</v>
      </c>
      <c r="Q101" s="97">
        <f t="shared" si="78"/>
        <v>4.9960148726818529E-6</v>
      </c>
      <c r="R101" s="34">
        <v>-20</v>
      </c>
      <c r="S101" s="33">
        <f t="shared" si="75"/>
        <v>-54.013762774408065</v>
      </c>
      <c r="T101" s="97">
        <f t="shared" si="64"/>
        <v>3.9684756744736361E-6</v>
      </c>
      <c r="U101" s="34">
        <v>-15</v>
      </c>
      <c r="V101" s="33">
        <f t="shared" si="79"/>
        <v>-49.013762774408065</v>
      </c>
      <c r="W101" s="97">
        <f t="shared" si="76"/>
        <v>1.2549421970309629E-5</v>
      </c>
      <c r="X101" s="34">
        <v>-15</v>
      </c>
      <c r="Y101" s="33">
        <f t="shared" si="77"/>
        <v>-49.013762774408065</v>
      </c>
      <c r="Z101" s="97">
        <f t="shared" si="62"/>
        <v>1.2549421970309629E-5</v>
      </c>
    </row>
    <row r="102" spans="2:26" x14ac:dyDescent="0.2">
      <c r="B102" s="13">
        <v>315</v>
      </c>
      <c r="C102" s="33">
        <f>'3º Alta Frec'!J93</f>
        <v>31.222821858624204</v>
      </c>
      <c r="D102" s="33">
        <f>'3º Alta Frec'!T93</f>
        <v>34.169626336308134</v>
      </c>
      <c r="E102" s="34">
        <f t="shared" si="60"/>
        <v>2</v>
      </c>
      <c r="F102" s="112">
        <f t="shared" si="66"/>
        <v>32.450940750590014</v>
      </c>
      <c r="G102" s="100">
        <v>48</v>
      </c>
      <c r="H102" s="18">
        <f t="shared" si="71"/>
        <v>38</v>
      </c>
      <c r="I102" s="18">
        <f t="shared" si="72"/>
        <v>37</v>
      </c>
      <c r="J102" s="34">
        <f t="shared" si="73"/>
        <v>36</v>
      </c>
      <c r="K102" s="79">
        <f t="shared" si="67"/>
        <v>0</v>
      </c>
      <c r="L102" s="33">
        <f t="shared" si="68"/>
        <v>0</v>
      </c>
      <c r="M102" s="98">
        <f t="shared" si="69"/>
        <v>0</v>
      </c>
      <c r="N102" s="66">
        <f t="shared" si="70"/>
        <v>0</v>
      </c>
      <c r="O102" s="99">
        <v>-17</v>
      </c>
      <c r="P102" s="33">
        <f t="shared" si="74"/>
        <v>-49.450940750590014</v>
      </c>
      <c r="Q102" s="97">
        <f t="shared" si="78"/>
        <v>1.1347649809909469E-5</v>
      </c>
      <c r="R102" s="34">
        <v>-18</v>
      </c>
      <c r="S102" s="33">
        <f t="shared" si="75"/>
        <v>-50.450940750590014</v>
      </c>
      <c r="T102" s="97">
        <f t="shared" si="64"/>
        <v>9.0137586417747245E-6</v>
      </c>
      <c r="U102" s="34">
        <v>-14</v>
      </c>
      <c r="V102" s="33">
        <f t="shared" si="79"/>
        <v>-46.450940750590014</v>
      </c>
      <c r="W102" s="97">
        <f t="shared" si="76"/>
        <v>2.2641538029176145E-5</v>
      </c>
      <c r="X102" s="34">
        <v>-14</v>
      </c>
      <c r="Y102" s="33">
        <f t="shared" si="77"/>
        <v>-46.450940750590014</v>
      </c>
      <c r="Z102" s="97">
        <f t="shared" si="62"/>
        <v>2.2641538029176145E-5</v>
      </c>
    </row>
    <row r="103" spans="2:26" x14ac:dyDescent="0.2">
      <c r="B103" s="13">
        <v>400</v>
      </c>
      <c r="C103" s="33">
        <f>'3º Alta Frec'!J94</f>
        <v>36.304629880334893</v>
      </c>
      <c r="D103" s="33">
        <f>'3º Alta Frec'!T94</f>
        <v>34.609152346770365</v>
      </c>
      <c r="E103" s="34">
        <f t="shared" si="60"/>
        <v>2</v>
      </c>
      <c r="F103" s="112">
        <f t="shared" si="66"/>
        <v>35.374672357566666</v>
      </c>
      <c r="G103" s="100">
        <v>51</v>
      </c>
      <c r="H103" s="18">
        <f t="shared" si="71"/>
        <v>41</v>
      </c>
      <c r="I103" s="18">
        <f t="shared" si="72"/>
        <v>40</v>
      </c>
      <c r="J103" s="34">
        <f t="shared" si="73"/>
        <v>39</v>
      </c>
      <c r="K103" s="79">
        <f t="shared" si="67"/>
        <v>0</v>
      </c>
      <c r="L103" s="33">
        <f t="shared" si="68"/>
        <v>0</v>
      </c>
      <c r="M103" s="98">
        <f t="shared" si="69"/>
        <v>0</v>
      </c>
      <c r="N103" s="66">
        <f t="shared" si="70"/>
        <v>0</v>
      </c>
      <c r="O103" s="99">
        <v>-15</v>
      </c>
      <c r="P103" s="33">
        <f t="shared" si="74"/>
        <v>-50.374672357566666</v>
      </c>
      <c r="Q103" s="97">
        <f t="shared" si="78"/>
        <v>9.1734513955170021E-6</v>
      </c>
      <c r="R103" s="34">
        <v>-16</v>
      </c>
      <c r="S103" s="33">
        <f t="shared" si="75"/>
        <v>-51.374672357566666</v>
      </c>
      <c r="T103" s="97">
        <f t="shared" si="64"/>
        <v>7.2867314533300249E-6</v>
      </c>
      <c r="U103" s="34">
        <v>-13</v>
      </c>
      <c r="V103" s="33">
        <f t="shared" si="79"/>
        <v>-48.374672357566666</v>
      </c>
      <c r="W103" s="97">
        <f t="shared" si="76"/>
        <v>1.4538940668127798E-5</v>
      </c>
      <c r="X103" s="34">
        <v>-13</v>
      </c>
      <c r="Y103" s="33">
        <f t="shared" si="77"/>
        <v>-48.374672357566666</v>
      </c>
      <c r="Z103" s="97">
        <f t="shared" si="62"/>
        <v>1.4538940668127798E-5</v>
      </c>
    </row>
    <row r="104" spans="2:26" x14ac:dyDescent="0.2">
      <c r="B104" s="13">
        <v>500</v>
      </c>
      <c r="C104" s="33">
        <f>'3º Alta Frec'!J95</f>
        <v>34.129086989107783</v>
      </c>
      <c r="D104" s="33">
        <f>'3º Alta Frec'!T95</f>
        <v>34.647840962975344</v>
      </c>
      <c r="E104" s="34">
        <f t="shared" si="60"/>
        <v>2</v>
      </c>
      <c r="F104" s="112">
        <f t="shared" si="66"/>
        <v>34.380723092017426</v>
      </c>
      <c r="G104" s="101">
        <v>52</v>
      </c>
      <c r="H104" s="18">
        <f t="shared" si="71"/>
        <v>42</v>
      </c>
      <c r="I104" s="95">
        <f t="shared" si="72"/>
        <v>41</v>
      </c>
      <c r="J104" s="34">
        <f t="shared" si="73"/>
        <v>40</v>
      </c>
      <c r="K104" s="79">
        <f t="shared" si="67"/>
        <v>0</v>
      </c>
      <c r="L104" s="33">
        <f t="shared" si="68"/>
        <v>0</v>
      </c>
      <c r="M104" s="98">
        <f t="shared" si="69"/>
        <v>0</v>
      </c>
      <c r="N104" s="66">
        <f t="shared" si="70"/>
        <v>0</v>
      </c>
      <c r="O104" s="99">
        <v>-13</v>
      </c>
      <c r="P104" s="33">
        <f t="shared" si="74"/>
        <v>-47.380723092017426</v>
      </c>
      <c r="Q104" s="97">
        <f t="shared" si="78"/>
        <v>1.8277958662859303E-5</v>
      </c>
      <c r="R104" s="34">
        <v>-14</v>
      </c>
      <c r="S104" s="33">
        <f t="shared" si="75"/>
        <v>-48.380723092017426</v>
      </c>
      <c r="T104" s="97">
        <f t="shared" si="64"/>
        <v>1.4518698639032381E-5</v>
      </c>
      <c r="U104" s="34">
        <v>-12</v>
      </c>
      <c r="V104" s="33">
        <f t="shared" si="79"/>
        <v>-46.380723092017426</v>
      </c>
      <c r="W104" s="97">
        <f t="shared" si="76"/>
        <v>2.3010586636396891E-5</v>
      </c>
      <c r="X104" s="34">
        <v>-12</v>
      </c>
      <c r="Y104" s="33">
        <f t="shared" si="77"/>
        <v>-46.380723092017426</v>
      </c>
      <c r="Z104" s="97">
        <f t="shared" si="62"/>
        <v>2.3010586636396891E-5</v>
      </c>
    </row>
    <row r="105" spans="2:26" x14ac:dyDescent="0.2">
      <c r="B105" s="13">
        <v>630</v>
      </c>
      <c r="C105" s="33">
        <f>'3º Alta Frec'!J96</f>
        <v>35.579816219930912</v>
      </c>
      <c r="D105" s="33">
        <f>'3º Alta Frec'!T96</f>
        <v>36.783259346050549</v>
      </c>
      <c r="E105" s="34">
        <f t="shared" si="60"/>
        <v>2</v>
      </c>
      <c r="F105" s="112">
        <f t="shared" si="66"/>
        <v>36.13998575553137</v>
      </c>
      <c r="G105" s="13">
        <v>53</v>
      </c>
      <c r="H105" s="18">
        <f t="shared" si="71"/>
        <v>43</v>
      </c>
      <c r="I105" s="18">
        <f t="shared" si="72"/>
        <v>42</v>
      </c>
      <c r="J105" s="34">
        <f t="shared" si="73"/>
        <v>41</v>
      </c>
      <c r="K105" s="79">
        <f t="shared" si="67"/>
        <v>0</v>
      </c>
      <c r="L105" s="33">
        <f t="shared" si="68"/>
        <v>0</v>
      </c>
      <c r="M105" s="98">
        <f t="shared" si="69"/>
        <v>0</v>
      </c>
      <c r="N105" s="66">
        <f t="shared" si="70"/>
        <v>0</v>
      </c>
      <c r="O105" s="99">
        <v>-12</v>
      </c>
      <c r="P105" s="33">
        <f t="shared" si="74"/>
        <v>-48.13998575553137</v>
      </c>
      <c r="Q105" s="97">
        <f t="shared" si="78"/>
        <v>1.5346220162133074E-5</v>
      </c>
      <c r="R105" s="34">
        <v>-13</v>
      </c>
      <c r="S105" s="33">
        <f t="shared" si="75"/>
        <v>-49.13998575553137</v>
      </c>
      <c r="T105" s="97">
        <f t="shared" si="64"/>
        <v>1.2189935971077354E-5</v>
      </c>
      <c r="U105" s="34">
        <v>-11</v>
      </c>
      <c r="V105" s="33">
        <f t="shared" si="79"/>
        <v>-47.13998575553137</v>
      </c>
      <c r="W105" s="97">
        <f t="shared" si="76"/>
        <v>1.9319746537097347E-5</v>
      </c>
      <c r="X105" s="34">
        <v>-11</v>
      </c>
      <c r="Y105" s="33">
        <f t="shared" si="77"/>
        <v>-47.13998575553137</v>
      </c>
      <c r="Z105" s="97">
        <f t="shared" si="62"/>
        <v>1.9319746537097347E-5</v>
      </c>
    </row>
    <row r="106" spans="2:26" x14ac:dyDescent="0.2">
      <c r="B106" s="13">
        <v>800</v>
      </c>
      <c r="C106" s="33">
        <f>'3º Alta Frec'!J97</f>
        <v>37.759894677969783</v>
      </c>
      <c r="D106" s="33">
        <f>'3º Alta Frec'!T97</f>
        <v>38.03146445601584</v>
      </c>
      <c r="E106" s="34">
        <f t="shared" si="60"/>
        <v>2</v>
      </c>
      <c r="F106" s="112">
        <f t="shared" si="66"/>
        <v>37.893557212952523</v>
      </c>
      <c r="G106" s="13">
        <v>54</v>
      </c>
      <c r="H106" s="18">
        <f t="shared" si="71"/>
        <v>44</v>
      </c>
      <c r="I106" s="18">
        <f t="shared" si="72"/>
        <v>43</v>
      </c>
      <c r="J106" s="34">
        <f t="shared" si="73"/>
        <v>42</v>
      </c>
      <c r="K106" s="79">
        <f t="shared" si="67"/>
        <v>0</v>
      </c>
      <c r="L106" s="33">
        <f t="shared" si="68"/>
        <v>0</v>
      </c>
      <c r="M106" s="98">
        <f t="shared" si="69"/>
        <v>0</v>
      </c>
      <c r="N106" s="66">
        <f t="shared" si="70"/>
        <v>0</v>
      </c>
      <c r="O106" s="99">
        <v>-11</v>
      </c>
      <c r="P106" s="33">
        <f t="shared" si="74"/>
        <v>-48.893557212952523</v>
      </c>
      <c r="Q106" s="97">
        <f t="shared" si="78"/>
        <v>1.2901620966155695E-5</v>
      </c>
      <c r="R106" s="34">
        <v>-12</v>
      </c>
      <c r="S106" s="33">
        <f t="shared" si="75"/>
        <v>-49.893557212952523</v>
      </c>
      <c r="T106" s="97">
        <f t="shared" si="64"/>
        <v>1.0248121807128224E-5</v>
      </c>
      <c r="U106" s="34">
        <v>-9</v>
      </c>
      <c r="V106" s="33">
        <f t="shared" si="79"/>
        <v>-46.893557212952523</v>
      </c>
      <c r="W106" s="97">
        <f t="shared" si="76"/>
        <v>2.0447691240973768E-5</v>
      </c>
      <c r="X106" s="34">
        <v>-9</v>
      </c>
      <c r="Y106" s="33">
        <f t="shared" si="77"/>
        <v>-46.893557212952523</v>
      </c>
      <c r="Z106" s="97">
        <f t="shared" si="62"/>
        <v>2.0447691240973768E-5</v>
      </c>
    </row>
    <row r="107" spans="2:26" x14ac:dyDescent="0.2">
      <c r="B107" s="13">
        <v>1000</v>
      </c>
      <c r="C107" s="33">
        <f>'3º Alta Frec'!J98</f>
        <v>40.714876782178656</v>
      </c>
      <c r="D107" s="33">
        <f>'3º Alta Frec'!T98</f>
        <v>40.381692832995938</v>
      </c>
      <c r="E107" s="34">
        <f t="shared" si="60"/>
        <v>2</v>
      </c>
      <c r="F107" s="112">
        <f t="shared" si="66"/>
        <v>40.545090421778418</v>
      </c>
      <c r="G107" s="13">
        <v>55</v>
      </c>
      <c r="H107" s="18">
        <f t="shared" si="71"/>
        <v>45</v>
      </c>
      <c r="I107" s="18">
        <f t="shared" si="72"/>
        <v>44</v>
      </c>
      <c r="J107" s="34">
        <f t="shared" si="73"/>
        <v>43</v>
      </c>
      <c r="K107" s="79">
        <f t="shared" si="67"/>
        <v>0</v>
      </c>
      <c r="L107" s="33">
        <f t="shared" si="68"/>
        <v>0</v>
      </c>
      <c r="M107" s="98">
        <f t="shared" si="69"/>
        <v>0</v>
      </c>
      <c r="N107" s="66">
        <f t="shared" si="70"/>
        <v>0</v>
      </c>
      <c r="O107" s="99">
        <v>-10</v>
      </c>
      <c r="P107" s="33">
        <f t="shared" si="74"/>
        <v>-50.545090421778418</v>
      </c>
      <c r="Q107" s="97">
        <f t="shared" si="78"/>
        <v>8.8204543742086144E-6</v>
      </c>
      <c r="R107" s="34">
        <v>-11</v>
      </c>
      <c r="S107" s="33">
        <f t="shared" si="75"/>
        <v>-51.545090421778418</v>
      </c>
      <c r="T107" s="97">
        <f t="shared" si="64"/>
        <v>7.0063359525312033E-6</v>
      </c>
      <c r="U107" s="34">
        <v>-8</v>
      </c>
      <c r="V107" s="33">
        <f t="shared" si="79"/>
        <v>-48.545090421778418</v>
      </c>
      <c r="W107" s="97">
        <f t="shared" si="76"/>
        <v>1.3979478092097108E-5</v>
      </c>
      <c r="X107" s="34">
        <v>-8</v>
      </c>
      <c r="Y107" s="33">
        <f t="shared" si="77"/>
        <v>-48.545090421778418</v>
      </c>
      <c r="Z107" s="97">
        <f t="shared" si="62"/>
        <v>1.3979478092097108E-5</v>
      </c>
    </row>
    <row r="108" spans="2:26" x14ac:dyDescent="0.2">
      <c r="B108" s="13">
        <v>1250</v>
      </c>
      <c r="C108" s="33">
        <f>'3º Alta Frec'!J99</f>
        <v>42.780300044789705</v>
      </c>
      <c r="D108" s="33">
        <f>'3º Alta Frec'!T99</f>
        <v>43.056216467656903</v>
      </c>
      <c r="E108" s="34">
        <f t="shared" si="60"/>
        <v>2</v>
      </c>
      <c r="F108" s="112">
        <f t="shared" si="66"/>
        <v>42.916067430773182</v>
      </c>
      <c r="G108" s="13">
        <v>56</v>
      </c>
      <c r="H108" s="18">
        <f t="shared" si="71"/>
        <v>46</v>
      </c>
      <c r="I108" s="18">
        <f t="shared" si="72"/>
        <v>45</v>
      </c>
      <c r="J108" s="34">
        <f t="shared" si="73"/>
        <v>44</v>
      </c>
      <c r="K108" s="79">
        <f t="shared" si="67"/>
        <v>0</v>
      </c>
      <c r="L108" s="33">
        <f t="shared" si="68"/>
        <v>0</v>
      </c>
      <c r="M108" s="98">
        <f t="shared" si="69"/>
        <v>0</v>
      </c>
      <c r="N108" s="66">
        <f t="shared" si="70"/>
        <v>0</v>
      </c>
      <c r="O108" s="99">
        <v>-9</v>
      </c>
      <c r="P108" s="33">
        <f t="shared" si="74"/>
        <v>-51.916067430773182</v>
      </c>
      <c r="Q108" s="97">
        <f t="shared" si="78"/>
        <v>6.4326993944660599E-6</v>
      </c>
      <c r="R108" s="34">
        <v>-10</v>
      </c>
      <c r="S108" s="33">
        <f t="shared" si="75"/>
        <v>-52.916067430773182</v>
      </c>
      <c r="T108" s="97">
        <f t="shared" si="64"/>
        <v>5.1096747545181759E-6</v>
      </c>
      <c r="U108" s="34">
        <v>-9</v>
      </c>
      <c r="V108" s="33">
        <f t="shared" si="79"/>
        <v>-51.916067430773182</v>
      </c>
      <c r="W108" s="97">
        <f t="shared" si="76"/>
        <v>6.4326993944660599E-6</v>
      </c>
      <c r="X108" s="34">
        <v>-9</v>
      </c>
      <c r="Y108" s="33">
        <f t="shared" si="77"/>
        <v>-51.916067430773182</v>
      </c>
      <c r="Z108" s="97">
        <f t="shared" si="62"/>
        <v>6.4326993944660599E-6</v>
      </c>
    </row>
    <row r="109" spans="2:26" x14ac:dyDescent="0.2">
      <c r="B109" s="13">
        <v>1600</v>
      </c>
      <c r="C109" s="33">
        <f>'3º Alta Frec'!J100</f>
        <v>43.716823745909281</v>
      </c>
      <c r="D109" s="33">
        <f>'3º Alta Frec'!T100</f>
        <v>43.89092211651996</v>
      </c>
      <c r="E109" s="34">
        <f t="shared" si="60"/>
        <v>2</v>
      </c>
      <c r="F109" s="112">
        <f t="shared" si="66"/>
        <v>43.803000590712287</v>
      </c>
      <c r="G109" s="13">
        <v>56</v>
      </c>
      <c r="H109" s="18">
        <f t="shared" si="71"/>
        <v>46</v>
      </c>
      <c r="I109" s="18">
        <f t="shared" si="72"/>
        <v>45</v>
      </c>
      <c r="J109" s="34">
        <f t="shared" si="73"/>
        <v>44</v>
      </c>
      <c r="K109" s="79">
        <f t="shared" si="67"/>
        <v>0</v>
      </c>
      <c r="L109" s="33">
        <f t="shared" si="68"/>
        <v>0</v>
      </c>
      <c r="M109" s="98">
        <f t="shared" si="69"/>
        <v>0</v>
      </c>
      <c r="N109" s="66">
        <f t="shared" si="70"/>
        <v>0</v>
      </c>
      <c r="O109" s="99">
        <v>-9</v>
      </c>
      <c r="P109" s="33">
        <f t="shared" si="74"/>
        <v>-52.803000590712287</v>
      </c>
      <c r="Q109" s="97">
        <f t="shared" si="78"/>
        <v>5.2444498994876021E-6</v>
      </c>
      <c r="R109" s="34">
        <v>-10</v>
      </c>
      <c r="S109" s="33">
        <f t="shared" si="75"/>
        <v>-53.803000590712287</v>
      </c>
      <c r="T109" s="97">
        <f t="shared" si="64"/>
        <v>4.1658146307599198E-6</v>
      </c>
      <c r="U109" s="34">
        <v>-10</v>
      </c>
      <c r="V109" s="33">
        <f t="shared" si="79"/>
        <v>-53.803000590712287</v>
      </c>
      <c r="W109" s="97">
        <f t="shared" si="76"/>
        <v>4.1658146307599198E-6</v>
      </c>
      <c r="X109" s="34">
        <v>-10</v>
      </c>
      <c r="Y109" s="33">
        <f t="shared" si="77"/>
        <v>-53.803000590712287</v>
      </c>
      <c r="Z109" s="97">
        <f t="shared" si="62"/>
        <v>4.1658146307599198E-6</v>
      </c>
    </row>
    <row r="110" spans="2:26" x14ac:dyDescent="0.2">
      <c r="B110" s="13">
        <v>2000</v>
      </c>
      <c r="C110" s="33">
        <f>'3º Alta Frec'!J101</f>
        <v>45.676946833628278</v>
      </c>
      <c r="D110" s="33">
        <f>'3º Alta Frec'!T101</f>
        <v>46.049068031768599</v>
      </c>
      <c r="E110" s="34">
        <f t="shared" si="60"/>
        <v>2</v>
      </c>
      <c r="F110" s="112">
        <f t="shared" si="66"/>
        <v>45.859023043867325</v>
      </c>
      <c r="G110" s="13">
        <v>56</v>
      </c>
      <c r="H110" s="18">
        <f t="shared" si="71"/>
        <v>46</v>
      </c>
      <c r="I110" s="18">
        <f t="shared" si="72"/>
        <v>45</v>
      </c>
      <c r="J110" s="34">
        <f t="shared" si="73"/>
        <v>44</v>
      </c>
      <c r="K110" s="79">
        <f t="shared" si="67"/>
        <v>0</v>
      </c>
      <c r="L110" s="33">
        <f t="shared" si="68"/>
        <v>0</v>
      </c>
      <c r="M110" s="98">
        <f t="shared" si="69"/>
        <v>0.85902304386732453</v>
      </c>
      <c r="N110" s="66">
        <f t="shared" si="70"/>
        <v>1.8590230438673245</v>
      </c>
      <c r="O110" s="99">
        <v>-9</v>
      </c>
      <c r="P110" s="33">
        <f t="shared" si="74"/>
        <v>-54.859023043867325</v>
      </c>
      <c r="Q110" s="97">
        <f t="shared" si="78"/>
        <v>3.2666130717337197E-6</v>
      </c>
      <c r="R110" s="34">
        <v>-10</v>
      </c>
      <c r="S110" s="33">
        <f t="shared" si="75"/>
        <v>-55.859023043867325</v>
      </c>
      <c r="T110" s="97">
        <f t="shared" si="64"/>
        <v>2.5947629947975064E-6</v>
      </c>
      <c r="U110" s="34">
        <v>-11</v>
      </c>
      <c r="V110" s="33">
        <f t="shared" si="79"/>
        <v>-56.859023043867325</v>
      </c>
      <c r="W110" s="97">
        <f t="shared" si="76"/>
        <v>2.0610935091853953E-6</v>
      </c>
      <c r="X110" s="34">
        <v>-11</v>
      </c>
      <c r="Y110" s="33">
        <f t="shared" si="77"/>
        <v>-56.859023043867325</v>
      </c>
      <c r="Z110" s="97">
        <f t="shared" si="62"/>
        <v>2.0610935091853953E-6</v>
      </c>
    </row>
    <row r="111" spans="2:26" x14ac:dyDescent="0.2">
      <c r="B111" s="13">
        <v>2500</v>
      </c>
      <c r="C111" s="33">
        <f>'3º Alta Frec'!J102</f>
        <v>44.260454384146463</v>
      </c>
      <c r="D111" s="33">
        <f>'3º Alta Frec'!T102</f>
        <v>46.618577621498922</v>
      </c>
      <c r="E111" s="34">
        <f t="shared" si="60"/>
        <v>2</v>
      </c>
      <c r="F111" s="112">
        <f t="shared" si="66"/>
        <v>45.281393218646855</v>
      </c>
      <c r="G111" s="13">
        <v>56</v>
      </c>
      <c r="H111" s="18">
        <f t="shared" si="71"/>
        <v>46</v>
      </c>
      <c r="I111" s="18">
        <f t="shared" si="72"/>
        <v>45</v>
      </c>
      <c r="J111" s="34">
        <f t="shared" si="73"/>
        <v>44</v>
      </c>
      <c r="K111" s="79">
        <f t="shared" si="67"/>
        <v>0</v>
      </c>
      <c r="L111" s="33">
        <f t="shared" si="68"/>
        <v>0</v>
      </c>
      <c r="M111" s="98">
        <f t="shared" si="69"/>
        <v>0.28139321864685485</v>
      </c>
      <c r="N111" s="66">
        <f t="shared" si="70"/>
        <v>1.2813932186468548</v>
      </c>
      <c r="O111" s="99">
        <v>-9</v>
      </c>
      <c r="P111" s="33">
        <f t="shared" si="74"/>
        <v>-54.281393218646855</v>
      </c>
      <c r="Q111" s="97">
        <f t="shared" si="78"/>
        <v>3.7313043818168162E-6</v>
      </c>
      <c r="R111" s="34">
        <v>-10</v>
      </c>
      <c r="S111" s="33">
        <f t="shared" si="75"/>
        <v>-55.281393218646855</v>
      </c>
      <c r="T111" s="97">
        <f t="shared" si="64"/>
        <v>2.9638804228275309E-6</v>
      </c>
      <c r="U111" s="34">
        <v>-13</v>
      </c>
      <c r="V111" s="33">
        <f t="shared" si="79"/>
        <v>-58.281393218646855</v>
      </c>
      <c r="W111" s="97">
        <f t="shared" si="76"/>
        <v>1.4854590299189593E-6</v>
      </c>
      <c r="X111" s="34">
        <v>-13</v>
      </c>
      <c r="Y111" s="33">
        <f t="shared" si="77"/>
        <v>-58.281393218646855</v>
      </c>
      <c r="Z111" s="97">
        <f t="shared" si="62"/>
        <v>1.4854590299189593E-6</v>
      </c>
    </row>
    <row r="112" spans="2:26" x14ac:dyDescent="0.2">
      <c r="B112" s="13">
        <v>3150</v>
      </c>
      <c r="C112" s="33">
        <f>'3º Alta Frec'!J103</f>
        <v>40.798807718896327</v>
      </c>
      <c r="D112" s="33">
        <f>'3º Alta Frec'!T103</f>
        <v>44.668496413054655</v>
      </c>
      <c r="E112" s="34">
        <f t="shared" si="60"/>
        <v>2</v>
      </c>
      <c r="F112" s="112">
        <f t="shared" si="66"/>
        <v>42.316197380503439</v>
      </c>
      <c r="G112" s="13">
        <v>56</v>
      </c>
      <c r="H112" s="18">
        <f t="shared" si="71"/>
        <v>46</v>
      </c>
      <c r="I112" s="18">
        <f t="shared" si="72"/>
        <v>45</v>
      </c>
      <c r="J112" s="34">
        <f t="shared" si="73"/>
        <v>44</v>
      </c>
      <c r="K112" s="79">
        <f t="shared" si="67"/>
        <v>0</v>
      </c>
      <c r="L112" s="33">
        <f t="shared" si="68"/>
        <v>0</v>
      </c>
      <c r="M112" s="98">
        <f t="shared" si="69"/>
        <v>0</v>
      </c>
      <c r="N112" s="66">
        <f t="shared" si="70"/>
        <v>0</v>
      </c>
      <c r="O112" s="99">
        <v>-9</v>
      </c>
      <c r="P112" s="33">
        <f t="shared" si="74"/>
        <v>-51.316197380503439</v>
      </c>
      <c r="Q112" s="97">
        <f t="shared" si="78"/>
        <v>7.3855061131066062E-6</v>
      </c>
      <c r="R112" s="34">
        <v>-10</v>
      </c>
      <c r="S112" s="33">
        <f t="shared" si="75"/>
        <v>-52.316197380503439</v>
      </c>
      <c r="T112" s="97">
        <f t="shared" si="64"/>
        <v>5.8665160333693662E-6</v>
      </c>
      <c r="U112" s="34">
        <v>-15</v>
      </c>
      <c r="V112" s="33">
        <f t="shared" si="79"/>
        <v>-57.316197380503439</v>
      </c>
      <c r="W112" s="97">
        <f t="shared" si="76"/>
        <v>1.8551552595343552E-6</v>
      </c>
      <c r="X112" s="34">
        <v>-15</v>
      </c>
      <c r="Y112" s="33">
        <f t="shared" si="77"/>
        <v>-57.316197380503439</v>
      </c>
      <c r="Z112" s="97">
        <f t="shared" si="62"/>
        <v>1.8551552595343552E-6</v>
      </c>
    </row>
    <row r="113" spans="2:26" x14ac:dyDescent="0.2">
      <c r="B113" s="13">
        <v>4000</v>
      </c>
      <c r="C113" s="33">
        <f>'3º Alta Frec'!J104</f>
        <v>44.764867882873702</v>
      </c>
      <c r="D113" s="33">
        <f>'3º Alta Frec'!T104</f>
        <v>46.109912621432414</v>
      </c>
      <c r="E113" s="34">
        <f t="shared" si="60"/>
        <v>2</v>
      </c>
      <c r="F113" s="112">
        <f t="shared" si="66"/>
        <v>45.385525652005782</v>
      </c>
      <c r="G113" s="13"/>
      <c r="H113" s="18"/>
      <c r="I113" s="18"/>
      <c r="J113" s="18"/>
      <c r="K113" s="13"/>
      <c r="L113" s="18"/>
      <c r="M113" s="95"/>
      <c r="N113" s="96"/>
      <c r="O113" s="99"/>
      <c r="P113" s="18"/>
      <c r="Q113" s="97"/>
      <c r="R113" s="34">
        <v>-10</v>
      </c>
      <c r="S113" s="33">
        <f t="shared" si="75"/>
        <v>-55.385525652005782</v>
      </c>
      <c r="T113" s="97">
        <f t="shared" si="64"/>
        <v>2.8936595593321444E-6</v>
      </c>
      <c r="U113" s="18"/>
      <c r="V113" s="18"/>
      <c r="W113" s="97"/>
      <c r="X113" s="34">
        <v>-16</v>
      </c>
      <c r="Y113" s="33">
        <f t="shared" si="77"/>
        <v>-61.385525652005782</v>
      </c>
      <c r="Z113" s="97">
        <f t="shared" si="62"/>
        <v>7.268544184494394E-7</v>
      </c>
    </row>
    <row r="114" spans="2:26" x14ac:dyDescent="0.2">
      <c r="B114" s="15">
        <v>5000</v>
      </c>
      <c r="C114" s="33">
        <f>'3º Alta Frec'!J105</f>
        <v>47.682798134204852</v>
      </c>
      <c r="D114" s="33">
        <f>'3º Alta Frec'!T105</f>
        <v>48.899204825733754</v>
      </c>
      <c r="E114" s="24">
        <f t="shared" si="60"/>
        <v>2</v>
      </c>
      <c r="F114" s="113">
        <f t="shared" si="66"/>
        <v>48.248552349835869</v>
      </c>
      <c r="G114" s="15"/>
      <c r="H114" s="16"/>
      <c r="I114" s="16"/>
      <c r="J114" s="16"/>
      <c r="K114" s="13"/>
      <c r="L114" s="18"/>
      <c r="M114" s="95"/>
      <c r="N114" s="96"/>
      <c r="O114" s="13"/>
      <c r="P114" s="18"/>
      <c r="Q114" s="97"/>
      <c r="R114" s="34">
        <v>-10</v>
      </c>
      <c r="S114" s="33">
        <f t="shared" si="75"/>
        <v>-58.248552349835869</v>
      </c>
      <c r="T114" s="97">
        <f t="shared" si="64"/>
        <v>1.4967344850983192E-6</v>
      </c>
      <c r="U114" s="18"/>
      <c r="V114" s="18"/>
      <c r="W114" s="97"/>
      <c r="X114" s="34">
        <v>-18</v>
      </c>
      <c r="Y114" s="33">
        <f t="shared" si="77"/>
        <v>-66.248552349835876</v>
      </c>
      <c r="Z114" s="97">
        <f t="shared" si="62"/>
        <v>2.3721642963541089E-7</v>
      </c>
    </row>
    <row r="115" spans="2:26" x14ac:dyDescent="0.2">
      <c r="K115" s="80">
        <f>SUM(K97:K112)</f>
        <v>1.1028805223133631</v>
      </c>
      <c r="L115" s="23">
        <f t="shared" ref="L115:N115" si="80">SUM(L97:L112)</f>
        <v>20.507625385646712</v>
      </c>
      <c r="M115" s="102">
        <f t="shared" si="80"/>
        <v>25.661804422568956</v>
      </c>
      <c r="N115" s="68">
        <f t="shared" si="80"/>
        <v>32.661804422568956</v>
      </c>
      <c r="O115" s="79" t="s">
        <v>129</v>
      </c>
      <c r="P115" s="33">
        <f>52-11</f>
        <v>41</v>
      </c>
      <c r="Q115" s="103">
        <f>-10*LOG10(SUM(Q94:Q114))</f>
        <v>39.353958596664008</v>
      </c>
      <c r="R115" s="34"/>
      <c r="S115" s="33"/>
      <c r="T115" s="103">
        <f>-10*LOG10(SUM(T94:T114))</f>
        <v>40.009722786002591</v>
      </c>
      <c r="U115" s="33"/>
      <c r="V115" s="33"/>
      <c r="W115" s="103">
        <f>-10*LOG10(SUM(W94:W114))</f>
        <v>37.534964833783157</v>
      </c>
      <c r="X115" s="34"/>
      <c r="Y115" s="33"/>
      <c r="Z115" s="103">
        <f>-10*LOG10(SUM(Z94:Z114))</f>
        <v>35.971274287435342</v>
      </c>
    </row>
    <row r="116" spans="2:26" x14ac:dyDescent="0.2">
      <c r="O116" s="15"/>
      <c r="P116" s="16"/>
      <c r="Q116" s="114">
        <f>ROUND(Q115,0)-P115</f>
        <v>-2</v>
      </c>
      <c r="R116" s="16"/>
      <c r="S116" s="16"/>
      <c r="T116" s="114">
        <f>ROUND(T115,0)-P115</f>
        <v>-1</v>
      </c>
      <c r="U116" s="16"/>
      <c r="V116" s="16"/>
      <c r="W116" s="114">
        <f>ROUND(W115,0)-P115</f>
        <v>-3</v>
      </c>
      <c r="X116" s="16"/>
      <c r="Y116" s="16"/>
      <c r="Z116" s="114">
        <f>ROUND(Z115,0)-P115</f>
        <v>-5</v>
      </c>
    </row>
    <row r="117" spans="2:26" x14ac:dyDescent="0.2">
      <c r="E117" s="2" t="s">
        <v>92</v>
      </c>
    </row>
    <row r="121" spans="2:26" x14ac:dyDescent="0.2">
      <c r="F121" s="172" t="s">
        <v>46</v>
      </c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4"/>
    </row>
    <row r="122" spans="2:26" x14ac:dyDescent="0.2">
      <c r="B122" s="47"/>
      <c r="C122" s="48"/>
      <c r="D122" s="48"/>
      <c r="E122" s="48"/>
      <c r="F122" s="184"/>
      <c r="G122" s="162" t="s">
        <v>96</v>
      </c>
      <c r="H122" s="163"/>
      <c r="I122" s="163"/>
      <c r="J122" s="163"/>
      <c r="K122" s="186" t="s">
        <v>95</v>
      </c>
      <c r="L122" s="187"/>
      <c r="M122" s="187"/>
      <c r="N122" s="188"/>
      <c r="O122" s="189" t="s">
        <v>99</v>
      </c>
      <c r="P122" s="190"/>
      <c r="Q122" s="191"/>
      <c r="R122" s="192" t="s">
        <v>97</v>
      </c>
      <c r="S122" s="192"/>
      <c r="T122" s="193"/>
      <c r="U122" s="190" t="s">
        <v>100</v>
      </c>
      <c r="V122" s="190"/>
      <c r="W122" s="191"/>
      <c r="X122" s="192" t="s">
        <v>98</v>
      </c>
      <c r="Y122" s="192"/>
      <c r="Z122" s="193"/>
    </row>
    <row r="123" spans="2:26" ht="33" customHeight="1" x14ac:dyDescent="0.2">
      <c r="B123" s="28"/>
      <c r="C123" s="29"/>
      <c r="D123" s="29"/>
      <c r="E123" s="29" t="s">
        <v>50</v>
      </c>
      <c r="F123" s="185"/>
      <c r="G123" s="15" t="s">
        <v>94</v>
      </c>
      <c r="H123" s="16" t="s">
        <v>90</v>
      </c>
      <c r="I123" s="16" t="s">
        <v>105</v>
      </c>
      <c r="J123" s="108" t="s">
        <v>119</v>
      </c>
      <c r="K123" s="15" t="s">
        <v>94</v>
      </c>
      <c r="L123" s="16" t="s">
        <v>90</v>
      </c>
      <c r="M123" s="16" t="s">
        <v>105</v>
      </c>
      <c r="N123" s="108" t="s">
        <v>119</v>
      </c>
      <c r="O123" s="142" t="s">
        <v>126</v>
      </c>
      <c r="P123" s="143"/>
      <c r="Q123" s="145"/>
      <c r="R123" s="144" t="s">
        <v>126</v>
      </c>
      <c r="S123" s="144"/>
      <c r="T123" s="145"/>
      <c r="U123" s="144" t="s">
        <v>126</v>
      </c>
      <c r="V123" s="143"/>
      <c r="W123" s="145"/>
      <c r="X123" s="144" t="s">
        <v>126</v>
      </c>
      <c r="Y123" s="144"/>
      <c r="Z123" s="145"/>
    </row>
    <row r="124" spans="2:26" x14ac:dyDescent="0.2">
      <c r="B124" s="13">
        <v>50</v>
      </c>
      <c r="C124" s="33">
        <f>'3º Alta Frec'!J112</f>
        <v>39.665354058761068</v>
      </c>
      <c r="D124" s="33">
        <f>'3º Alta Frec'!T112</f>
        <v>40.684435257335196</v>
      </c>
      <c r="E124" s="34">
        <f t="shared" ref="E124:E144" si="81">COUNT(C124:D124)</f>
        <v>2</v>
      </c>
      <c r="F124" s="111">
        <v>34.348576942306515</v>
      </c>
      <c r="G124" s="93"/>
      <c r="H124" s="94"/>
      <c r="I124" s="94"/>
      <c r="J124" s="94"/>
      <c r="K124" s="93"/>
      <c r="L124" s="94"/>
      <c r="M124" s="109"/>
      <c r="N124" s="110"/>
      <c r="O124" s="13"/>
      <c r="P124" s="18"/>
      <c r="Q124" s="97"/>
      <c r="R124" s="34">
        <v>-41</v>
      </c>
      <c r="S124" s="33">
        <f>R124-F124</f>
        <v>-75.348576942306522</v>
      </c>
      <c r="T124" s="97">
        <f>10^(S124/10)</f>
        <v>2.9183831272826954E-8</v>
      </c>
      <c r="U124" s="18"/>
      <c r="V124" s="18"/>
      <c r="W124" s="97"/>
      <c r="X124" s="34">
        <v>-25</v>
      </c>
      <c r="Y124" s="33">
        <f t="shared" ref="Y124" si="82">X124-F124</f>
        <v>-59.348576942306515</v>
      </c>
      <c r="Z124" s="97">
        <f t="shared" ref="Z124:Z144" si="83">10^(Y124/10)</f>
        <v>1.1618292493935838E-6</v>
      </c>
    </row>
    <row r="125" spans="2:26" x14ac:dyDescent="0.2">
      <c r="B125" s="13">
        <v>63</v>
      </c>
      <c r="C125" s="33">
        <f>'3º Alta Frec'!J113</f>
        <v>53.986153313581475</v>
      </c>
      <c r="D125" s="33">
        <f>'3º Alta Frec'!T113</f>
        <v>45.304208440053273</v>
      </c>
      <c r="E125" s="34">
        <f t="shared" si="81"/>
        <v>2</v>
      </c>
      <c r="F125" s="112">
        <v>41.444318366021847</v>
      </c>
      <c r="G125" s="13"/>
      <c r="H125" s="18"/>
      <c r="I125" s="18"/>
      <c r="J125" s="18"/>
      <c r="K125" s="13"/>
      <c r="L125" s="18"/>
      <c r="M125" s="95"/>
      <c r="N125" s="96"/>
      <c r="O125" s="13"/>
      <c r="P125" s="18"/>
      <c r="Q125" s="97"/>
      <c r="R125" s="34">
        <v>-37</v>
      </c>
      <c r="S125" s="33">
        <f t="shared" ref="S125:S126" si="84">R125-F125</f>
        <v>-78.444318366021847</v>
      </c>
      <c r="T125" s="97">
        <f t="shared" ref="T125:T144" si="85">10^(S125/10)</f>
        <v>1.4307645245858729E-8</v>
      </c>
      <c r="U125" s="18"/>
      <c r="V125" s="18"/>
      <c r="W125" s="97"/>
      <c r="X125" s="34">
        <v>-23</v>
      </c>
      <c r="Y125" s="33">
        <f>X125-F125</f>
        <v>-64.444318366021847</v>
      </c>
      <c r="Z125" s="97">
        <f t="shared" si="83"/>
        <v>3.5939179959925051E-7</v>
      </c>
    </row>
    <row r="126" spans="2:26" x14ac:dyDescent="0.2">
      <c r="B126" s="13">
        <v>80</v>
      </c>
      <c r="C126" s="33">
        <f>'3º Alta Frec'!J114</f>
        <v>45.719639455490189</v>
      </c>
      <c r="D126" s="33">
        <f>'3º Alta Frec'!T114</f>
        <v>43.087520521848148</v>
      </c>
      <c r="E126" s="34">
        <f t="shared" si="81"/>
        <v>2</v>
      </c>
      <c r="F126" s="112">
        <v>41.700896111714378</v>
      </c>
      <c r="G126" s="13"/>
      <c r="H126" s="18"/>
      <c r="I126" s="18"/>
      <c r="J126" s="18"/>
      <c r="K126" s="13"/>
      <c r="L126" s="18"/>
      <c r="M126" s="95"/>
      <c r="N126" s="96"/>
      <c r="O126" s="13"/>
      <c r="P126" s="18"/>
      <c r="Q126" s="97"/>
      <c r="R126" s="34">
        <v>-34</v>
      </c>
      <c r="S126" s="33">
        <f t="shared" si="84"/>
        <v>-75.700896111714371</v>
      </c>
      <c r="T126" s="97">
        <f t="shared" si="85"/>
        <v>2.6909794970669587E-8</v>
      </c>
      <c r="U126" s="18"/>
      <c r="V126" s="18"/>
      <c r="W126" s="97"/>
      <c r="X126" s="34">
        <v>-21</v>
      </c>
      <c r="Y126" s="33">
        <f t="shared" ref="Y126" si="86">X126-F126</f>
        <v>-62.700896111714378</v>
      </c>
      <c r="Z126" s="97">
        <f t="shared" si="83"/>
        <v>5.3692099808516116E-7</v>
      </c>
    </row>
    <row r="127" spans="2:26" x14ac:dyDescent="0.2">
      <c r="B127" s="13">
        <v>100</v>
      </c>
      <c r="C127" s="33">
        <f>'3º Alta Frec'!J115</f>
        <v>48.74062485004103</v>
      </c>
      <c r="D127" s="33">
        <f>'3º Alta Frec'!T115</f>
        <v>35.935217926158529</v>
      </c>
      <c r="E127" s="34">
        <f t="shared" si="81"/>
        <v>2</v>
      </c>
      <c r="F127" s="112">
        <f t="shared" ref="F127:F144" si="87">-10*LOG10((10^(-C127/10)+10^(-D127/10))/E127)</f>
        <v>38.723645737041679</v>
      </c>
      <c r="G127" s="13">
        <v>33</v>
      </c>
      <c r="H127" s="18">
        <f>$G127+8</f>
        <v>41</v>
      </c>
      <c r="I127" s="18">
        <f>$G127+9</f>
        <v>42</v>
      </c>
      <c r="J127" s="18">
        <f>$G127+10</f>
        <v>43</v>
      </c>
      <c r="K127" s="79">
        <f t="shared" ref="K127:K142" si="88">IF((F127-G127)&gt;0,F127-G127,0)</f>
        <v>5.7236457370416787</v>
      </c>
      <c r="L127" s="33">
        <f t="shared" ref="L127:L142" si="89">IF((F127-H127)&gt;0,F127-H127,0)</f>
        <v>0</v>
      </c>
      <c r="M127" s="98">
        <f t="shared" ref="M127:M142" si="90">IF((F127-I127)&gt;0,F127-I127,0)</f>
        <v>0</v>
      </c>
      <c r="N127" s="66">
        <f t="shared" ref="N127:N142" si="91">IF((F127-J127)&gt;0,F127-J127,0)</f>
        <v>0</v>
      </c>
      <c r="O127" s="99">
        <v>-29</v>
      </c>
      <c r="P127" s="33">
        <f>O127-F127</f>
        <v>-67.723645737041679</v>
      </c>
      <c r="Q127" s="97">
        <f>10^(P127/10)</f>
        <v>1.6890224662147962E-7</v>
      </c>
      <c r="R127" s="34">
        <v>-30</v>
      </c>
      <c r="S127" s="33">
        <f>R127-F127</f>
        <v>-68.723645737041679</v>
      </c>
      <c r="T127" s="97">
        <f>10^(S127/10)</f>
        <v>1.3416382339980527E-7</v>
      </c>
      <c r="U127" s="34">
        <v>-20</v>
      </c>
      <c r="V127" s="33">
        <f>U127-F127</f>
        <v>-58.723645737041679</v>
      </c>
      <c r="W127" s="97">
        <f>10^(V127/10)</f>
        <v>1.3416382339980541E-6</v>
      </c>
      <c r="X127" s="34">
        <v>-20</v>
      </c>
      <c r="Y127" s="33">
        <f>X127-F127</f>
        <v>-58.723645737041679</v>
      </c>
      <c r="Z127" s="97">
        <f>10^(Y127/10)</f>
        <v>1.3416382339980541E-6</v>
      </c>
    </row>
    <row r="128" spans="2:26" x14ac:dyDescent="0.2">
      <c r="B128" s="13">
        <v>125</v>
      </c>
      <c r="C128" s="33">
        <f>'3º Alta Frec'!J116</f>
        <v>45.846830555711598</v>
      </c>
      <c r="D128" s="33">
        <f>'3º Alta Frec'!T116</f>
        <v>40.067832007046519</v>
      </c>
      <c r="E128" s="34">
        <f t="shared" si="81"/>
        <v>2</v>
      </c>
      <c r="F128" s="112">
        <f t="shared" si="87"/>
        <v>42.059624350458591</v>
      </c>
      <c r="G128" s="13">
        <v>36</v>
      </c>
      <c r="H128" s="18">
        <f t="shared" ref="H128:H142" si="92">$G128+8</f>
        <v>44</v>
      </c>
      <c r="I128" s="18">
        <f t="shared" ref="I128:I142" si="93">$G128+9</f>
        <v>45</v>
      </c>
      <c r="J128" s="18">
        <f t="shared" ref="J128:J142" si="94">$G128+10</f>
        <v>46</v>
      </c>
      <c r="K128" s="79">
        <f t="shared" si="88"/>
        <v>6.0596243504585914</v>
      </c>
      <c r="L128" s="33">
        <f t="shared" si="89"/>
        <v>0</v>
      </c>
      <c r="M128" s="98">
        <f t="shared" si="90"/>
        <v>0</v>
      </c>
      <c r="N128" s="66">
        <f t="shared" si="91"/>
        <v>0</v>
      </c>
      <c r="O128" s="99">
        <v>-26</v>
      </c>
      <c r="P128" s="33">
        <f t="shared" ref="P128:P142" si="95">O128-F128</f>
        <v>-68.059624350458591</v>
      </c>
      <c r="Q128" s="97">
        <f>10^(P128/10)</f>
        <v>1.5632828552940035E-7</v>
      </c>
      <c r="R128" s="34">
        <v>-27</v>
      </c>
      <c r="S128" s="33">
        <f t="shared" ref="S128:S144" si="96">R128-F128</f>
        <v>-69.059624350458591</v>
      </c>
      <c r="T128" s="97">
        <f t="shared" si="85"/>
        <v>1.2417597108204169E-7</v>
      </c>
      <c r="U128" s="34">
        <v>-20</v>
      </c>
      <c r="V128" s="33">
        <f>U128-F128</f>
        <v>-62.059624350458591</v>
      </c>
      <c r="W128" s="97">
        <f t="shared" ref="W128:W142" si="97">10^(V128/10)</f>
        <v>6.2235411429588762E-7</v>
      </c>
      <c r="X128" s="34">
        <v>-20</v>
      </c>
      <c r="Y128" s="33">
        <f t="shared" ref="Y128:Y144" si="98">X128-F128</f>
        <v>-62.059624350458591</v>
      </c>
      <c r="Z128" s="97">
        <f t="shared" si="83"/>
        <v>6.2235411429588762E-7</v>
      </c>
    </row>
    <row r="129" spans="2:26" x14ac:dyDescent="0.2">
      <c r="B129" s="13">
        <v>160</v>
      </c>
      <c r="C129" s="33">
        <f>'3º Alta Frec'!J117</f>
        <v>49.678161446856528</v>
      </c>
      <c r="D129" s="33">
        <f>'3º Alta Frec'!T117</f>
        <v>49.540450207589032</v>
      </c>
      <c r="E129" s="34">
        <f t="shared" si="81"/>
        <v>2</v>
      </c>
      <c r="F129" s="112">
        <f t="shared" si="87"/>
        <v>49.608760011199408</v>
      </c>
      <c r="G129" s="13">
        <v>39</v>
      </c>
      <c r="H129" s="18">
        <f t="shared" si="92"/>
        <v>47</v>
      </c>
      <c r="I129" s="18">
        <f t="shared" si="93"/>
        <v>48</v>
      </c>
      <c r="J129" s="18">
        <f t="shared" si="94"/>
        <v>49</v>
      </c>
      <c r="K129" s="79">
        <f t="shared" si="88"/>
        <v>10.608760011199408</v>
      </c>
      <c r="L129" s="33">
        <f t="shared" si="89"/>
        <v>2.6087600111994078</v>
      </c>
      <c r="M129" s="98">
        <f t="shared" si="90"/>
        <v>1.6087600111994078</v>
      </c>
      <c r="N129" s="66">
        <f t="shared" si="91"/>
        <v>0.60876001119940781</v>
      </c>
      <c r="O129" s="99">
        <v>-23</v>
      </c>
      <c r="P129" s="33">
        <f t="shared" si="95"/>
        <v>-72.608760011199408</v>
      </c>
      <c r="Q129" s="97">
        <f t="shared" ref="Q129:Q142" si="99">10^(P129/10)</f>
        <v>5.4843353019843196E-8</v>
      </c>
      <c r="R129" s="34">
        <v>-24</v>
      </c>
      <c r="S129" s="33">
        <f t="shared" si="96"/>
        <v>-73.608760011199408</v>
      </c>
      <c r="T129" s="97">
        <f t="shared" si="85"/>
        <v>4.3563623790612679E-8</v>
      </c>
      <c r="U129" s="34">
        <v>-18</v>
      </c>
      <c r="V129" s="33">
        <f t="shared" ref="V129:V142" si="100">U129-F129</f>
        <v>-67.608760011199408</v>
      </c>
      <c r="W129" s="97">
        <f t="shared" si="97"/>
        <v>1.7342991006337795E-7</v>
      </c>
      <c r="X129" s="34">
        <v>-18</v>
      </c>
      <c r="Y129" s="33">
        <f t="shared" si="98"/>
        <v>-67.608760011199408</v>
      </c>
      <c r="Z129" s="97">
        <f t="shared" si="83"/>
        <v>1.7342991006337795E-7</v>
      </c>
    </row>
    <row r="130" spans="2:26" x14ac:dyDescent="0.2">
      <c r="B130" s="13">
        <v>200</v>
      </c>
      <c r="C130" s="33">
        <f>'3º Alta Frec'!J118</f>
        <v>55.724542924750153</v>
      </c>
      <c r="D130" s="33">
        <f>'3º Alta Frec'!T118</f>
        <v>51.108565125155117</v>
      </c>
      <c r="E130" s="34">
        <f t="shared" si="81"/>
        <v>2</v>
      </c>
      <c r="F130" s="112">
        <f t="shared" si="87"/>
        <v>52.830145743598493</v>
      </c>
      <c r="G130" s="13">
        <v>42</v>
      </c>
      <c r="H130" s="18">
        <f t="shared" si="92"/>
        <v>50</v>
      </c>
      <c r="I130" s="18">
        <f t="shared" si="93"/>
        <v>51</v>
      </c>
      <c r="J130" s="18">
        <f t="shared" si="94"/>
        <v>52</v>
      </c>
      <c r="K130" s="79">
        <f t="shared" si="88"/>
        <v>10.830145743598493</v>
      </c>
      <c r="L130" s="33">
        <f t="shared" si="89"/>
        <v>2.8301457435984929</v>
      </c>
      <c r="M130" s="98">
        <f t="shared" si="90"/>
        <v>1.8301457435984929</v>
      </c>
      <c r="N130" s="66">
        <f t="shared" si="91"/>
        <v>0.83014574359849291</v>
      </c>
      <c r="O130" s="99">
        <v>-21</v>
      </c>
      <c r="P130" s="33">
        <f t="shared" si="95"/>
        <v>-73.830145743598493</v>
      </c>
      <c r="Q130" s="97">
        <f t="shared" si="99"/>
        <v>4.139857817604168E-8</v>
      </c>
      <c r="R130" s="34">
        <v>-22</v>
      </c>
      <c r="S130" s="33">
        <f t="shared" si="96"/>
        <v>-74.830145743598493</v>
      </c>
      <c r="T130" s="97">
        <f t="shared" si="85"/>
        <v>3.288405952267027E-8</v>
      </c>
      <c r="U130" s="34">
        <v>-16</v>
      </c>
      <c r="V130" s="33">
        <f t="shared" si="100"/>
        <v>-68.830145743598493</v>
      </c>
      <c r="W130" s="97">
        <f t="shared" si="97"/>
        <v>1.3091379892883067E-7</v>
      </c>
      <c r="X130" s="34">
        <v>-16</v>
      </c>
      <c r="Y130" s="33">
        <f t="shared" si="98"/>
        <v>-68.830145743598493</v>
      </c>
      <c r="Z130" s="97">
        <f t="shared" si="83"/>
        <v>1.3091379892883067E-7</v>
      </c>
    </row>
    <row r="131" spans="2:26" x14ac:dyDescent="0.2">
      <c r="B131" s="13">
        <v>250</v>
      </c>
      <c r="C131" s="33">
        <f>'3º Alta Frec'!J119</f>
        <v>57.671915400263572</v>
      </c>
      <c r="D131" s="33">
        <f>'3º Alta Frec'!T119</f>
        <v>55.808360734522914</v>
      </c>
      <c r="E131" s="34">
        <f t="shared" si="81"/>
        <v>2</v>
      </c>
      <c r="F131" s="112">
        <f t="shared" si="87"/>
        <v>56.64093938593949</v>
      </c>
      <c r="G131" s="100">
        <v>45</v>
      </c>
      <c r="H131" s="18">
        <f t="shared" si="92"/>
        <v>53</v>
      </c>
      <c r="I131" s="18">
        <f t="shared" si="93"/>
        <v>54</v>
      </c>
      <c r="J131" s="18">
        <f t="shared" si="94"/>
        <v>55</v>
      </c>
      <c r="K131" s="79">
        <f t="shared" si="88"/>
        <v>11.64093938593949</v>
      </c>
      <c r="L131" s="33">
        <f t="shared" si="89"/>
        <v>3.6409393859394896</v>
      </c>
      <c r="M131" s="98">
        <f t="shared" si="90"/>
        <v>2.6409393859394896</v>
      </c>
      <c r="N131" s="66">
        <f t="shared" si="91"/>
        <v>1.6409393859394896</v>
      </c>
      <c r="O131" s="99">
        <v>-19</v>
      </c>
      <c r="P131" s="33">
        <f t="shared" si="95"/>
        <v>-75.64093938593949</v>
      </c>
      <c r="Q131" s="97">
        <f t="shared" si="99"/>
        <v>2.7283875643655471E-8</v>
      </c>
      <c r="R131" s="34">
        <v>-20</v>
      </c>
      <c r="S131" s="33">
        <f t="shared" si="96"/>
        <v>-76.64093938593949</v>
      </c>
      <c r="T131" s="97">
        <f t="shared" si="85"/>
        <v>2.1672352776461689E-8</v>
      </c>
      <c r="U131" s="34">
        <v>-15</v>
      </c>
      <c r="V131" s="33">
        <f t="shared" si="100"/>
        <v>-71.64093938593949</v>
      </c>
      <c r="W131" s="97">
        <f t="shared" si="97"/>
        <v>6.8533997028292872E-8</v>
      </c>
      <c r="X131" s="34">
        <v>-15</v>
      </c>
      <c r="Y131" s="33">
        <f t="shared" si="98"/>
        <v>-71.64093938593949</v>
      </c>
      <c r="Z131" s="97">
        <f t="shared" si="83"/>
        <v>6.8533997028292872E-8</v>
      </c>
    </row>
    <row r="132" spans="2:26" x14ac:dyDescent="0.2">
      <c r="B132" s="13">
        <v>315</v>
      </c>
      <c r="C132" s="33">
        <f>'3º Alta Frec'!J120</f>
        <v>57.013617070965857</v>
      </c>
      <c r="D132" s="33">
        <f>'3º Alta Frec'!T120</f>
        <v>53.881882470018866</v>
      </c>
      <c r="E132" s="34">
        <f t="shared" si="81"/>
        <v>2</v>
      </c>
      <c r="F132" s="112">
        <f t="shared" si="87"/>
        <v>55.171371955799479</v>
      </c>
      <c r="G132" s="100">
        <v>48</v>
      </c>
      <c r="H132" s="18">
        <f t="shared" si="92"/>
        <v>56</v>
      </c>
      <c r="I132" s="18">
        <f t="shared" si="93"/>
        <v>57</v>
      </c>
      <c r="J132" s="18">
        <f t="shared" si="94"/>
        <v>58</v>
      </c>
      <c r="K132" s="79">
        <f t="shared" si="88"/>
        <v>7.1713719557994793</v>
      </c>
      <c r="L132" s="33">
        <f t="shared" si="89"/>
        <v>0</v>
      </c>
      <c r="M132" s="98">
        <f t="shared" si="90"/>
        <v>0</v>
      </c>
      <c r="N132" s="66">
        <f t="shared" si="91"/>
        <v>0</v>
      </c>
      <c r="O132" s="99">
        <v>-17</v>
      </c>
      <c r="P132" s="33">
        <f t="shared" si="95"/>
        <v>-72.171371955799486</v>
      </c>
      <c r="Q132" s="97">
        <f t="shared" si="99"/>
        <v>6.0654468912499924E-8</v>
      </c>
      <c r="R132" s="34">
        <v>-18</v>
      </c>
      <c r="S132" s="33">
        <f t="shared" si="96"/>
        <v>-73.171371955799486</v>
      </c>
      <c r="T132" s="97">
        <f t="shared" si="85"/>
        <v>4.8179557219404919E-8</v>
      </c>
      <c r="U132" s="34">
        <v>-14</v>
      </c>
      <c r="V132" s="33">
        <f t="shared" si="100"/>
        <v>-69.171371955799486</v>
      </c>
      <c r="W132" s="97">
        <f t="shared" si="97"/>
        <v>1.2102157605556262E-7</v>
      </c>
      <c r="X132" s="34">
        <v>-14</v>
      </c>
      <c r="Y132" s="33">
        <f t="shared" si="98"/>
        <v>-69.171371955799486</v>
      </c>
      <c r="Z132" s="97">
        <f t="shared" si="83"/>
        <v>1.2102157605556262E-7</v>
      </c>
    </row>
    <row r="133" spans="2:26" x14ac:dyDescent="0.2">
      <c r="B133" s="13">
        <v>400</v>
      </c>
      <c r="C133" s="33">
        <f>'3º Alta Frec'!J121</f>
        <v>58.736621226480672</v>
      </c>
      <c r="D133" s="33">
        <f>'3º Alta Frec'!T121</f>
        <v>57.150317178261609</v>
      </c>
      <c r="E133" s="34">
        <f t="shared" si="81"/>
        <v>2</v>
      </c>
      <c r="F133" s="112">
        <f t="shared" si="87"/>
        <v>57.871441595578645</v>
      </c>
      <c r="G133" s="100">
        <v>51</v>
      </c>
      <c r="H133" s="18">
        <f t="shared" si="92"/>
        <v>59</v>
      </c>
      <c r="I133" s="18">
        <f t="shared" si="93"/>
        <v>60</v>
      </c>
      <c r="J133" s="18">
        <f t="shared" si="94"/>
        <v>61</v>
      </c>
      <c r="K133" s="79">
        <f t="shared" si="88"/>
        <v>6.871441595578645</v>
      </c>
      <c r="L133" s="33">
        <f t="shared" si="89"/>
        <v>0</v>
      </c>
      <c r="M133" s="98">
        <f t="shared" si="90"/>
        <v>0</v>
      </c>
      <c r="N133" s="66">
        <f t="shared" si="91"/>
        <v>0</v>
      </c>
      <c r="O133" s="99">
        <v>-15</v>
      </c>
      <c r="P133" s="33">
        <f t="shared" si="95"/>
        <v>-72.871441595578645</v>
      </c>
      <c r="Q133" s="97">
        <f t="shared" si="99"/>
        <v>5.1624497865098733E-8</v>
      </c>
      <c r="R133" s="34">
        <v>-16</v>
      </c>
      <c r="S133" s="33">
        <f t="shared" si="96"/>
        <v>-73.871441595578645</v>
      </c>
      <c r="T133" s="97">
        <f t="shared" si="85"/>
        <v>4.1006796257711209E-8</v>
      </c>
      <c r="U133" s="34">
        <v>-13</v>
      </c>
      <c r="V133" s="33">
        <f t="shared" si="100"/>
        <v>-70.871441595578645</v>
      </c>
      <c r="W133" s="97">
        <f t="shared" si="97"/>
        <v>8.1819315230618104E-8</v>
      </c>
      <c r="X133" s="34">
        <v>-13</v>
      </c>
      <c r="Y133" s="33">
        <f t="shared" si="98"/>
        <v>-70.871441595578645</v>
      </c>
      <c r="Z133" s="97">
        <f t="shared" si="83"/>
        <v>8.1819315230618104E-8</v>
      </c>
    </row>
    <row r="134" spans="2:26" x14ac:dyDescent="0.2">
      <c r="B134" s="13">
        <v>500</v>
      </c>
      <c r="C134" s="33">
        <f>'3º Alta Frec'!J122</f>
        <v>59.618113220607171</v>
      </c>
      <c r="D134" s="33">
        <f>'3º Alta Frec'!T122</f>
        <v>58.760280244498539</v>
      </c>
      <c r="E134" s="34">
        <f t="shared" si="81"/>
        <v>2</v>
      </c>
      <c r="F134" s="112">
        <f t="shared" si="87"/>
        <v>59.168050820253669</v>
      </c>
      <c r="G134" s="101">
        <v>52</v>
      </c>
      <c r="H134" s="18">
        <f t="shared" si="92"/>
        <v>60</v>
      </c>
      <c r="I134" s="95">
        <f t="shared" si="93"/>
        <v>61</v>
      </c>
      <c r="J134" s="18">
        <f t="shared" si="94"/>
        <v>62</v>
      </c>
      <c r="K134" s="79">
        <f t="shared" si="88"/>
        <v>7.1680508202536686</v>
      </c>
      <c r="L134" s="33">
        <f t="shared" si="89"/>
        <v>0</v>
      </c>
      <c r="M134" s="98">
        <f t="shared" si="90"/>
        <v>0</v>
      </c>
      <c r="N134" s="66">
        <f t="shared" si="91"/>
        <v>0</v>
      </c>
      <c r="O134" s="99">
        <v>-13</v>
      </c>
      <c r="P134" s="33">
        <f t="shared" si="95"/>
        <v>-72.168050820253669</v>
      </c>
      <c r="Q134" s="97">
        <f t="shared" si="99"/>
        <v>6.0700870320755932E-8</v>
      </c>
      <c r="R134" s="34">
        <v>-14</v>
      </c>
      <c r="S134" s="33">
        <f t="shared" si="96"/>
        <v>-73.168050820253669</v>
      </c>
      <c r="T134" s="97">
        <f t="shared" si="85"/>
        <v>4.821641516811363E-8</v>
      </c>
      <c r="U134" s="34">
        <v>-12</v>
      </c>
      <c r="V134" s="33">
        <f t="shared" si="100"/>
        <v>-71.168050820253669</v>
      </c>
      <c r="W134" s="97">
        <f t="shared" si="97"/>
        <v>7.6417868164821932E-8</v>
      </c>
      <c r="X134" s="34">
        <v>-12</v>
      </c>
      <c r="Y134" s="33">
        <f t="shared" si="98"/>
        <v>-71.168050820253669</v>
      </c>
      <c r="Z134" s="97">
        <f t="shared" si="83"/>
        <v>7.6417868164821932E-8</v>
      </c>
    </row>
    <row r="135" spans="2:26" x14ac:dyDescent="0.2">
      <c r="B135" s="13">
        <v>630</v>
      </c>
      <c r="C135" s="33">
        <f>'3º Alta Frec'!J123</f>
        <v>63.789792708040181</v>
      </c>
      <c r="D135" s="33">
        <f>'3º Alta Frec'!T123</f>
        <v>62.04677944284942</v>
      </c>
      <c r="E135" s="34">
        <f t="shared" si="81"/>
        <v>2</v>
      </c>
      <c r="F135" s="112">
        <f t="shared" si="87"/>
        <v>62.831423318164248</v>
      </c>
      <c r="G135" s="13">
        <v>53</v>
      </c>
      <c r="H135" s="18">
        <f t="shared" si="92"/>
        <v>61</v>
      </c>
      <c r="I135" s="18">
        <f t="shared" si="93"/>
        <v>62</v>
      </c>
      <c r="J135" s="18">
        <f t="shared" si="94"/>
        <v>63</v>
      </c>
      <c r="K135" s="79">
        <f t="shared" si="88"/>
        <v>9.8314233181642479</v>
      </c>
      <c r="L135" s="33">
        <f t="shared" si="89"/>
        <v>1.8314233181642479</v>
      </c>
      <c r="M135" s="98">
        <f t="shared" si="90"/>
        <v>0.83142331816424786</v>
      </c>
      <c r="N135" s="66">
        <f t="shared" si="91"/>
        <v>0</v>
      </c>
      <c r="O135" s="99">
        <v>-12</v>
      </c>
      <c r="P135" s="33">
        <f t="shared" si="95"/>
        <v>-74.831423318164241</v>
      </c>
      <c r="Q135" s="97">
        <f t="shared" si="99"/>
        <v>3.2874387362175825E-8</v>
      </c>
      <c r="R135" s="34">
        <v>-13</v>
      </c>
      <c r="S135" s="33">
        <f t="shared" si="96"/>
        <v>-75.831423318164241</v>
      </c>
      <c r="T135" s="97">
        <f t="shared" si="85"/>
        <v>2.6113054081039375E-8</v>
      </c>
      <c r="U135" s="34">
        <v>-11</v>
      </c>
      <c r="V135" s="33">
        <f t="shared" si="100"/>
        <v>-73.831423318164241</v>
      </c>
      <c r="W135" s="97">
        <f t="shared" si="97"/>
        <v>4.1386401647408129E-8</v>
      </c>
      <c r="X135" s="34">
        <v>-11</v>
      </c>
      <c r="Y135" s="33">
        <f t="shared" si="98"/>
        <v>-73.831423318164241</v>
      </c>
      <c r="Z135" s="97">
        <f t="shared" si="83"/>
        <v>4.1386401647408129E-8</v>
      </c>
    </row>
    <row r="136" spans="2:26" x14ac:dyDescent="0.2">
      <c r="B136" s="13">
        <v>800</v>
      </c>
      <c r="C136" s="33">
        <f>'3º Alta Frec'!J124</f>
        <v>67.724729940656132</v>
      </c>
      <c r="D136" s="33">
        <f>'3º Alta Frec'!T124</f>
        <v>67.244457605082104</v>
      </c>
      <c r="E136" s="34">
        <f t="shared" si="81"/>
        <v>2</v>
      </c>
      <c r="F136" s="112">
        <f t="shared" si="87"/>
        <v>67.477958180955298</v>
      </c>
      <c r="G136" s="13">
        <v>54</v>
      </c>
      <c r="H136" s="18">
        <f t="shared" si="92"/>
        <v>62</v>
      </c>
      <c r="I136" s="18">
        <f t="shared" si="93"/>
        <v>63</v>
      </c>
      <c r="J136" s="18">
        <f t="shared" si="94"/>
        <v>64</v>
      </c>
      <c r="K136" s="79">
        <f t="shared" si="88"/>
        <v>13.477958180955298</v>
      </c>
      <c r="L136" s="33">
        <f t="shared" si="89"/>
        <v>5.477958180955298</v>
      </c>
      <c r="M136" s="98">
        <f t="shared" si="90"/>
        <v>4.477958180955298</v>
      </c>
      <c r="N136" s="66">
        <f t="shared" si="91"/>
        <v>3.477958180955298</v>
      </c>
      <c r="O136" s="99">
        <v>-11</v>
      </c>
      <c r="P136" s="33">
        <f t="shared" si="95"/>
        <v>-78.477958180955298</v>
      </c>
      <c r="Q136" s="97">
        <f t="shared" si="99"/>
        <v>1.419724843060981E-8</v>
      </c>
      <c r="R136" s="34">
        <v>-12</v>
      </c>
      <c r="S136" s="33">
        <f t="shared" si="96"/>
        <v>-79.477958180955298</v>
      </c>
      <c r="T136" s="97">
        <f t="shared" si="85"/>
        <v>1.1277275283828337E-8</v>
      </c>
      <c r="U136" s="34">
        <v>-9</v>
      </c>
      <c r="V136" s="33">
        <f t="shared" si="100"/>
        <v>-76.477958180955298</v>
      </c>
      <c r="W136" s="97">
        <f t="shared" si="97"/>
        <v>2.250112238935267E-8</v>
      </c>
      <c r="X136" s="34">
        <v>-9</v>
      </c>
      <c r="Y136" s="33">
        <f t="shared" si="98"/>
        <v>-76.477958180955298</v>
      </c>
      <c r="Z136" s="97">
        <f t="shared" si="83"/>
        <v>2.250112238935267E-8</v>
      </c>
    </row>
    <row r="137" spans="2:26" x14ac:dyDescent="0.2">
      <c r="B137" s="13">
        <v>1000</v>
      </c>
      <c r="C137" s="33">
        <f>'3º Alta Frec'!J125</f>
        <v>67.431364376224394</v>
      </c>
      <c r="D137" s="33">
        <f>'3º Alta Frec'!T125</f>
        <v>67.068263538856286</v>
      </c>
      <c r="E137" s="34">
        <f t="shared" si="81"/>
        <v>2</v>
      </c>
      <c r="F137" s="112">
        <f t="shared" si="87"/>
        <v>67.246020338185872</v>
      </c>
      <c r="G137" s="13">
        <v>55</v>
      </c>
      <c r="H137" s="18">
        <f t="shared" si="92"/>
        <v>63</v>
      </c>
      <c r="I137" s="18">
        <f t="shared" si="93"/>
        <v>64</v>
      </c>
      <c r="J137" s="18">
        <f t="shared" si="94"/>
        <v>65</v>
      </c>
      <c r="K137" s="79">
        <f t="shared" si="88"/>
        <v>12.246020338185872</v>
      </c>
      <c r="L137" s="33">
        <f t="shared" si="89"/>
        <v>4.2460203381858719</v>
      </c>
      <c r="M137" s="98">
        <f t="shared" si="90"/>
        <v>3.2460203381858719</v>
      </c>
      <c r="N137" s="66">
        <f t="shared" si="91"/>
        <v>2.2460203381858719</v>
      </c>
      <c r="O137" s="99">
        <v>-10</v>
      </c>
      <c r="P137" s="33">
        <f t="shared" si="95"/>
        <v>-77.246020338185872</v>
      </c>
      <c r="Q137" s="97">
        <f t="shared" si="99"/>
        <v>1.8853759643015305E-8</v>
      </c>
      <c r="R137" s="34">
        <v>-11</v>
      </c>
      <c r="S137" s="33">
        <f t="shared" si="96"/>
        <v>-78.246020338185872</v>
      </c>
      <c r="T137" s="97">
        <f t="shared" si="85"/>
        <v>1.4976073615152263E-8</v>
      </c>
      <c r="U137" s="34">
        <v>-8</v>
      </c>
      <c r="V137" s="33">
        <f t="shared" si="100"/>
        <v>-75.246020338185872</v>
      </c>
      <c r="W137" s="97">
        <f t="shared" si="97"/>
        <v>2.9881195310513081E-8</v>
      </c>
      <c r="X137" s="34">
        <v>-8</v>
      </c>
      <c r="Y137" s="33">
        <f t="shared" si="98"/>
        <v>-75.246020338185872</v>
      </c>
      <c r="Z137" s="97">
        <f t="shared" si="83"/>
        <v>2.9881195310513081E-8</v>
      </c>
    </row>
    <row r="138" spans="2:26" x14ac:dyDescent="0.2">
      <c r="B138" s="13">
        <v>1250</v>
      </c>
      <c r="C138" s="33">
        <f>'3º Alta Frec'!J126</f>
        <v>68.863597205096085</v>
      </c>
      <c r="D138" s="33">
        <f>'3º Alta Frec'!T126</f>
        <v>69.164703188035261</v>
      </c>
      <c r="E138" s="34">
        <f t="shared" si="81"/>
        <v>2</v>
      </c>
      <c r="F138" s="112">
        <f t="shared" si="87"/>
        <v>69.01154117597838</v>
      </c>
      <c r="G138" s="13">
        <v>56</v>
      </c>
      <c r="H138" s="18">
        <f t="shared" si="92"/>
        <v>64</v>
      </c>
      <c r="I138" s="18">
        <f t="shared" si="93"/>
        <v>65</v>
      </c>
      <c r="J138" s="18">
        <f t="shared" si="94"/>
        <v>66</v>
      </c>
      <c r="K138" s="79">
        <f t="shared" si="88"/>
        <v>13.01154117597838</v>
      </c>
      <c r="L138" s="33">
        <f t="shared" si="89"/>
        <v>5.0115411759783797</v>
      </c>
      <c r="M138" s="98">
        <f t="shared" si="90"/>
        <v>4.0115411759783797</v>
      </c>
      <c r="N138" s="66">
        <f t="shared" si="91"/>
        <v>3.0115411759783797</v>
      </c>
      <c r="O138" s="99">
        <v>-9</v>
      </c>
      <c r="P138" s="33">
        <f t="shared" si="95"/>
        <v>-78.01154117597838</v>
      </c>
      <c r="Q138" s="97">
        <f t="shared" si="99"/>
        <v>1.5806870030974161E-8</v>
      </c>
      <c r="R138" s="34">
        <v>-10</v>
      </c>
      <c r="S138" s="33">
        <f t="shared" si="96"/>
        <v>-79.01154117597838</v>
      </c>
      <c r="T138" s="97">
        <f t="shared" si="85"/>
        <v>1.2555843168219821E-8</v>
      </c>
      <c r="U138" s="34">
        <v>-9</v>
      </c>
      <c r="V138" s="33">
        <f t="shared" si="100"/>
        <v>-78.01154117597838</v>
      </c>
      <c r="W138" s="97">
        <f t="shared" si="97"/>
        <v>1.5806870030974161E-8</v>
      </c>
      <c r="X138" s="34">
        <v>-9</v>
      </c>
      <c r="Y138" s="33">
        <f t="shared" si="98"/>
        <v>-78.01154117597838</v>
      </c>
      <c r="Z138" s="97">
        <f t="shared" si="83"/>
        <v>1.5806870030974161E-8</v>
      </c>
    </row>
    <row r="139" spans="2:26" x14ac:dyDescent="0.2">
      <c r="B139" s="13">
        <v>1600</v>
      </c>
      <c r="C139" s="33">
        <f>'3º Alta Frec'!J127</f>
        <v>69.260280188366167</v>
      </c>
      <c r="D139" s="33">
        <f>'3º Alta Frec'!T127</f>
        <v>68.095660688904218</v>
      </c>
      <c r="E139" s="34">
        <f t="shared" si="81"/>
        <v>2</v>
      </c>
      <c r="F139" s="112">
        <f t="shared" si="87"/>
        <v>68.639048290541893</v>
      </c>
      <c r="G139" s="13">
        <v>56</v>
      </c>
      <c r="H139" s="18">
        <f t="shared" si="92"/>
        <v>64</v>
      </c>
      <c r="I139" s="18">
        <f t="shared" si="93"/>
        <v>65</v>
      </c>
      <c r="J139" s="18">
        <f t="shared" si="94"/>
        <v>66</v>
      </c>
      <c r="K139" s="79">
        <f t="shared" si="88"/>
        <v>12.639048290541893</v>
      </c>
      <c r="L139" s="33">
        <f t="shared" si="89"/>
        <v>4.6390482905418935</v>
      </c>
      <c r="M139" s="98">
        <f t="shared" si="90"/>
        <v>3.6390482905418935</v>
      </c>
      <c r="N139" s="66">
        <f t="shared" si="91"/>
        <v>2.6390482905418935</v>
      </c>
      <c r="O139" s="99">
        <v>-9</v>
      </c>
      <c r="P139" s="33">
        <f t="shared" si="95"/>
        <v>-77.639048290541893</v>
      </c>
      <c r="Q139" s="97">
        <f t="shared" si="99"/>
        <v>1.7222459452367386E-8</v>
      </c>
      <c r="R139" s="34">
        <v>-10</v>
      </c>
      <c r="S139" s="33">
        <f t="shared" si="96"/>
        <v>-78.639048290541893</v>
      </c>
      <c r="T139" s="97">
        <f t="shared" si="85"/>
        <v>1.3680285814409515E-8</v>
      </c>
      <c r="U139" s="34">
        <v>-10</v>
      </c>
      <c r="V139" s="33">
        <f t="shared" si="100"/>
        <v>-78.639048290541893</v>
      </c>
      <c r="W139" s="97">
        <f t="shared" si="97"/>
        <v>1.3680285814409515E-8</v>
      </c>
      <c r="X139" s="34">
        <v>-10</v>
      </c>
      <c r="Y139" s="33">
        <f t="shared" si="98"/>
        <v>-78.639048290541893</v>
      </c>
      <c r="Z139" s="97">
        <f t="shared" si="83"/>
        <v>1.3680285814409515E-8</v>
      </c>
    </row>
    <row r="140" spans="2:26" x14ac:dyDescent="0.2">
      <c r="B140" s="13">
        <v>2000</v>
      </c>
      <c r="C140" s="33">
        <f>'3º Alta Frec'!J128</f>
        <v>69.878722151979687</v>
      </c>
      <c r="D140" s="33">
        <f>'3º Alta Frec'!T128</f>
        <v>68.171688594124959</v>
      </c>
      <c r="E140" s="34">
        <f t="shared" si="81"/>
        <v>2</v>
      </c>
      <c r="F140" s="112">
        <f t="shared" si="87"/>
        <v>68.941869164155889</v>
      </c>
      <c r="G140" s="13">
        <v>56</v>
      </c>
      <c r="H140" s="18">
        <f t="shared" si="92"/>
        <v>64</v>
      </c>
      <c r="I140" s="18">
        <f t="shared" si="93"/>
        <v>65</v>
      </c>
      <c r="J140" s="18">
        <f t="shared" si="94"/>
        <v>66</v>
      </c>
      <c r="K140" s="79">
        <f t="shared" si="88"/>
        <v>12.941869164155889</v>
      </c>
      <c r="L140" s="33">
        <f t="shared" si="89"/>
        <v>4.9418691641558894</v>
      </c>
      <c r="M140" s="98">
        <f t="shared" si="90"/>
        <v>3.9418691641558894</v>
      </c>
      <c r="N140" s="66">
        <f t="shared" si="91"/>
        <v>2.9418691641558894</v>
      </c>
      <c r="O140" s="99">
        <v>-9</v>
      </c>
      <c r="P140" s="33">
        <f t="shared" si="95"/>
        <v>-77.941869164155889</v>
      </c>
      <c r="Q140" s="97">
        <f t="shared" si="99"/>
        <v>1.6062497888475439E-8</v>
      </c>
      <c r="R140" s="34">
        <v>-10</v>
      </c>
      <c r="S140" s="33">
        <f t="shared" si="96"/>
        <v>-78.941869164155889</v>
      </c>
      <c r="T140" s="97">
        <f t="shared" si="85"/>
        <v>1.2758895593015161E-8</v>
      </c>
      <c r="U140" s="34">
        <v>-11</v>
      </c>
      <c r="V140" s="33">
        <f t="shared" si="100"/>
        <v>-79.941869164155889</v>
      </c>
      <c r="W140" s="97">
        <f t="shared" si="97"/>
        <v>1.0134751013431159E-8</v>
      </c>
      <c r="X140" s="34">
        <v>-11</v>
      </c>
      <c r="Y140" s="33">
        <f t="shared" si="98"/>
        <v>-79.941869164155889</v>
      </c>
      <c r="Z140" s="97">
        <f t="shared" si="83"/>
        <v>1.0134751013431159E-8</v>
      </c>
    </row>
    <row r="141" spans="2:26" x14ac:dyDescent="0.2">
      <c r="B141" s="13">
        <v>2500</v>
      </c>
      <c r="C141" s="33">
        <f>'3º Alta Frec'!J129</f>
        <v>68.267850797972571</v>
      </c>
      <c r="D141" s="33">
        <f>'3º Alta Frec'!T129</f>
        <v>68.318658957989385</v>
      </c>
      <c r="E141" s="34">
        <f t="shared" si="81"/>
        <v>2</v>
      </c>
      <c r="F141" s="112">
        <f t="shared" si="87"/>
        <v>68.293180577750661</v>
      </c>
      <c r="G141" s="13">
        <v>56</v>
      </c>
      <c r="H141" s="18">
        <f t="shared" si="92"/>
        <v>64</v>
      </c>
      <c r="I141" s="18">
        <f t="shared" si="93"/>
        <v>65</v>
      </c>
      <c r="J141" s="18">
        <f t="shared" si="94"/>
        <v>66</v>
      </c>
      <c r="K141" s="79">
        <f t="shared" si="88"/>
        <v>12.293180577750661</v>
      </c>
      <c r="L141" s="33">
        <f t="shared" si="89"/>
        <v>4.2931805777506611</v>
      </c>
      <c r="M141" s="98">
        <f t="shared" si="90"/>
        <v>3.2931805777506611</v>
      </c>
      <c r="N141" s="66">
        <f t="shared" si="91"/>
        <v>2.2931805777506611</v>
      </c>
      <c r="O141" s="99">
        <v>-9</v>
      </c>
      <c r="P141" s="33">
        <f t="shared" si="95"/>
        <v>-77.293180577750661</v>
      </c>
      <c r="Q141" s="97">
        <f t="shared" si="99"/>
        <v>1.8650133385538627E-8</v>
      </c>
      <c r="R141" s="34">
        <v>-10</v>
      </c>
      <c r="S141" s="33">
        <f t="shared" si="96"/>
        <v>-78.293180577750661</v>
      </c>
      <c r="T141" s="97">
        <f t="shared" si="85"/>
        <v>1.4814327529507246E-8</v>
      </c>
      <c r="U141" s="34">
        <v>-13</v>
      </c>
      <c r="V141" s="33">
        <f t="shared" si="100"/>
        <v>-81.293180577750661</v>
      </c>
      <c r="W141" s="97">
        <f t="shared" si="97"/>
        <v>7.4247518325621011E-9</v>
      </c>
      <c r="X141" s="34">
        <v>-13</v>
      </c>
      <c r="Y141" s="33">
        <f t="shared" si="98"/>
        <v>-81.293180577750661</v>
      </c>
      <c r="Z141" s="97">
        <f t="shared" si="83"/>
        <v>7.4247518325621011E-9</v>
      </c>
    </row>
    <row r="142" spans="2:26" x14ac:dyDescent="0.2">
      <c r="B142" s="13">
        <v>3150</v>
      </c>
      <c r="C142" s="33">
        <f>'3º Alta Frec'!J130</f>
        <v>64.059668907489566</v>
      </c>
      <c r="D142" s="33">
        <f>'3º Alta Frec'!T130</f>
        <v>64.425034511419369</v>
      </c>
      <c r="E142" s="34">
        <f t="shared" si="81"/>
        <v>2</v>
      </c>
      <c r="F142" s="112">
        <f t="shared" si="87"/>
        <v>64.23851063266784</v>
      </c>
      <c r="G142" s="13">
        <v>56</v>
      </c>
      <c r="H142" s="18">
        <f t="shared" si="92"/>
        <v>64</v>
      </c>
      <c r="I142" s="18">
        <f t="shared" si="93"/>
        <v>65</v>
      </c>
      <c r="J142" s="18">
        <f t="shared" si="94"/>
        <v>66</v>
      </c>
      <c r="K142" s="79">
        <f t="shared" si="88"/>
        <v>8.2385106326678397</v>
      </c>
      <c r="L142" s="33">
        <f t="shared" si="89"/>
        <v>0.23851063266783967</v>
      </c>
      <c r="M142" s="98">
        <f t="shared" si="90"/>
        <v>0</v>
      </c>
      <c r="N142" s="66">
        <f t="shared" si="91"/>
        <v>0</v>
      </c>
      <c r="O142" s="99">
        <v>-9</v>
      </c>
      <c r="P142" s="33">
        <f t="shared" si="95"/>
        <v>-73.23851063266784</v>
      </c>
      <c r="Q142" s="97">
        <f t="shared" si="99"/>
        <v>4.744046494607503E-8</v>
      </c>
      <c r="R142" s="34">
        <v>-10</v>
      </c>
      <c r="S142" s="33">
        <f t="shared" si="96"/>
        <v>-74.23851063266784</v>
      </c>
      <c r="T142" s="97">
        <f t="shared" si="85"/>
        <v>3.768330077511497E-8</v>
      </c>
      <c r="U142" s="34">
        <v>-15</v>
      </c>
      <c r="V142" s="33">
        <f t="shared" si="100"/>
        <v>-79.23851063266784</v>
      </c>
      <c r="W142" s="97">
        <f t="shared" si="97"/>
        <v>1.1916506020255198E-8</v>
      </c>
      <c r="X142" s="34">
        <v>-15</v>
      </c>
      <c r="Y142" s="33">
        <f t="shared" si="98"/>
        <v>-79.23851063266784</v>
      </c>
      <c r="Z142" s="97">
        <f t="shared" si="83"/>
        <v>1.1916506020255198E-8</v>
      </c>
    </row>
    <row r="143" spans="2:26" x14ac:dyDescent="0.2">
      <c r="B143" s="13">
        <v>4000</v>
      </c>
      <c r="C143" s="33">
        <f>'3º Alta Frec'!J131</f>
        <v>64.158369185258465</v>
      </c>
      <c r="D143" s="33">
        <f>'3º Alta Frec'!T131</f>
        <v>64.131069662193866</v>
      </c>
      <c r="E143" s="34">
        <f t="shared" si="81"/>
        <v>2</v>
      </c>
      <c r="F143" s="112">
        <f t="shared" si="87"/>
        <v>64.144697973340442</v>
      </c>
      <c r="G143" s="13"/>
      <c r="H143" s="18"/>
      <c r="I143" s="18"/>
      <c r="J143" s="18"/>
      <c r="K143" s="13"/>
      <c r="L143" s="18"/>
      <c r="M143" s="95"/>
      <c r="N143" s="96"/>
      <c r="O143" s="99"/>
      <c r="P143" s="18"/>
      <c r="Q143" s="97"/>
      <c r="R143" s="34">
        <v>-10</v>
      </c>
      <c r="S143" s="33">
        <f t="shared" si="96"/>
        <v>-74.144697973340442</v>
      </c>
      <c r="T143" s="97">
        <f t="shared" si="85"/>
        <v>3.8506159255111873E-8</v>
      </c>
      <c r="U143" s="18"/>
      <c r="V143" s="18"/>
      <c r="W143" s="97"/>
      <c r="X143" s="34">
        <v>-16</v>
      </c>
      <c r="Y143" s="33">
        <f t="shared" si="98"/>
        <v>-80.144697973340442</v>
      </c>
      <c r="Z143" s="97">
        <f t="shared" si="83"/>
        <v>9.6723098962462759E-9</v>
      </c>
    </row>
    <row r="144" spans="2:26" x14ac:dyDescent="0.2">
      <c r="B144" s="15">
        <v>5000</v>
      </c>
      <c r="C144" s="33">
        <f>'3º Alta Frec'!J132</f>
        <v>64.110184601465818</v>
      </c>
      <c r="D144" s="33">
        <f>'3º Alta Frec'!T132</f>
        <v>62.767946270314987</v>
      </c>
      <c r="E144" s="24">
        <f t="shared" si="81"/>
        <v>2</v>
      </c>
      <c r="F144" s="113">
        <f t="shared" si="87"/>
        <v>63.387416185734608</v>
      </c>
      <c r="G144" s="15"/>
      <c r="H144" s="16"/>
      <c r="I144" s="16"/>
      <c r="J144" s="16"/>
      <c r="K144" s="13"/>
      <c r="L144" s="18"/>
      <c r="M144" s="95"/>
      <c r="N144" s="96"/>
      <c r="O144" s="13"/>
      <c r="P144" s="18"/>
      <c r="Q144" s="97"/>
      <c r="R144" s="34">
        <v>-10</v>
      </c>
      <c r="S144" s="33">
        <f t="shared" si="96"/>
        <v>-73.387416185734608</v>
      </c>
      <c r="T144" s="97">
        <f t="shared" si="85"/>
        <v>4.5841453713858949E-8</v>
      </c>
      <c r="U144" s="18"/>
      <c r="V144" s="18"/>
      <c r="W144" s="97"/>
      <c r="X144" s="34">
        <v>-18</v>
      </c>
      <c r="Y144" s="33">
        <f t="shared" si="98"/>
        <v>-81.387416185734608</v>
      </c>
      <c r="Z144" s="97">
        <f t="shared" si="83"/>
        <v>7.2653807923616321E-9</v>
      </c>
    </row>
    <row r="145" spans="5:26" x14ac:dyDescent="0.2">
      <c r="K145" s="80">
        <f>SUM(K127:K142)</f>
        <v>160.75353127826952</v>
      </c>
      <c r="L145" s="23">
        <f t="shared" ref="L145:N145" si="101">SUM(L127:L142)</f>
        <v>39.759396819137471</v>
      </c>
      <c r="M145" s="102">
        <f t="shared" si="101"/>
        <v>29.520886186469632</v>
      </c>
      <c r="N145" s="68">
        <f t="shared" si="101"/>
        <v>19.689462868305384</v>
      </c>
      <c r="O145" s="79" t="s">
        <v>130</v>
      </c>
      <c r="P145" s="33">
        <f>52+9</f>
        <v>61</v>
      </c>
      <c r="Q145" s="103">
        <f>-10*LOG10(SUM(Q124:Q144))</f>
        <v>60.953688354499185</v>
      </c>
      <c r="R145" s="34"/>
      <c r="S145" s="33"/>
      <c r="T145" s="103">
        <f>-10*LOG10(SUM(T124:T144))</f>
        <v>61.010168739114896</v>
      </c>
      <c r="U145" s="33"/>
      <c r="V145" s="33"/>
      <c r="W145" s="103">
        <f>-10*LOG10(SUM(W124:W144))</f>
        <v>55.57698893184731</v>
      </c>
      <c r="X145" s="34"/>
      <c r="Y145" s="33"/>
      <c r="Z145" s="103">
        <f>-10*LOG10(SUM(Z124:Z144))</f>
        <v>53.148012058785341</v>
      </c>
    </row>
    <row r="146" spans="5:26" x14ac:dyDescent="0.2">
      <c r="O146" s="15"/>
      <c r="P146" s="16"/>
      <c r="Q146" s="114">
        <f>ROUND(Q145,0)-P145</f>
        <v>0</v>
      </c>
      <c r="R146" s="16"/>
      <c r="S146" s="16"/>
      <c r="T146" s="114">
        <f>ROUND(T145,0)-P145</f>
        <v>0</v>
      </c>
      <c r="U146" s="16"/>
      <c r="V146" s="16"/>
      <c r="W146" s="114">
        <f>ROUND(W145,0)-P145</f>
        <v>-5</v>
      </c>
      <c r="X146" s="16"/>
      <c r="Y146" s="16"/>
      <c r="Z146" s="114">
        <f>ROUND(Z145,0)-P145</f>
        <v>-8</v>
      </c>
    </row>
    <row r="150" spans="5:26" x14ac:dyDescent="0.2">
      <c r="E150" s="2" t="s">
        <v>91</v>
      </c>
    </row>
  </sheetData>
  <mergeCells count="40">
    <mergeCell ref="F2:Z2"/>
    <mergeCell ref="F3:F4"/>
    <mergeCell ref="G3:J3"/>
    <mergeCell ref="K3:N3"/>
    <mergeCell ref="O3:Q3"/>
    <mergeCell ref="R3:T3"/>
    <mergeCell ref="U3:W3"/>
    <mergeCell ref="X3:Z3"/>
    <mergeCell ref="F32:Z32"/>
    <mergeCell ref="F33:F34"/>
    <mergeCell ref="G33:J33"/>
    <mergeCell ref="K33:N33"/>
    <mergeCell ref="O33:Q33"/>
    <mergeCell ref="R33:T33"/>
    <mergeCell ref="U33:W33"/>
    <mergeCell ref="X33:Z33"/>
    <mergeCell ref="F62:Z62"/>
    <mergeCell ref="F63:F64"/>
    <mergeCell ref="G63:J63"/>
    <mergeCell ref="K63:N63"/>
    <mergeCell ref="O63:Q63"/>
    <mergeCell ref="R63:T63"/>
    <mergeCell ref="U63:W63"/>
    <mergeCell ref="X63:Z63"/>
    <mergeCell ref="F91:Z91"/>
    <mergeCell ref="F92:F93"/>
    <mergeCell ref="G92:J92"/>
    <mergeCell ref="K92:N92"/>
    <mergeCell ref="O92:Q92"/>
    <mergeCell ref="R92:T92"/>
    <mergeCell ref="U92:W92"/>
    <mergeCell ref="X92:Z92"/>
    <mergeCell ref="F121:Z121"/>
    <mergeCell ref="F122:F123"/>
    <mergeCell ref="G122:J122"/>
    <mergeCell ref="K122:N122"/>
    <mergeCell ref="O122:Q122"/>
    <mergeCell ref="R122:T122"/>
    <mergeCell ref="U122:W122"/>
    <mergeCell ref="X122:Z122"/>
  </mergeCells>
  <conditionalFormatting sqref="H24">
    <cfRule type="cellIs" dxfId="3" priority="4" operator="lessThan">
      <formula>0</formula>
    </cfRule>
  </conditionalFormatting>
  <conditionalFormatting sqref="H84">
    <cfRule type="cellIs" dxfId="2" priority="3" operator="lessThan">
      <formula>0</formula>
    </cfRule>
  </conditionalFormatting>
  <conditionalFormatting sqref="H113">
    <cfRule type="cellIs" dxfId="1" priority="2" operator="lessThan">
      <formula>0</formula>
    </cfRule>
  </conditionalFormatting>
  <conditionalFormatting sqref="H1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3BD-BE5C-4144-BAF9-82F5406BC9AE}">
  <dimension ref="A2:D41"/>
  <sheetViews>
    <sheetView topLeftCell="A2" zoomScale="150" workbookViewId="0">
      <selection activeCell="C15" sqref="C15"/>
    </sheetView>
  </sheetViews>
  <sheetFormatPr baseColWidth="10" defaultRowHeight="16" x14ac:dyDescent="0.2"/>
  <cols>
    <col min="1" max="1" width="11" customWidth="1"/>
    <col min="2" max="2" width="17.33203125" bestFit="1" customWidth="1"/>
    <col min="3" max="3" width="71" customWidth="1"/>
    <col min="4" max="4" width="70.33203125" customWidth="1"/>
  </cols>
  <sheetData>
    <row r="2" spans="1:4" s="116" customFormat="1" ht="44" customHeight="1" x14ac:dyDescent="0.25">
      <c r="A2" s="121" t="s">
        <v>140</v>
      </c>
      <c r="B2" s="122" t="s">
        <v>139</v>
      </c>
      <c r="C2" s="122" t="s">
        <v>136</v>
      </c>
      <c r="D2" s="123" t="s">
        <v>137</v>
      </c>
    </row>
    <row r="3" spans="1:4" ht="25" customHeight="1" x14ac:dyDescent="0.2">
      <c r="A3" s="197"/>
      <c r="B3" s="124" t="s">
        <v>113</v>
      </c>
      <c r="C3" s="125"/>
      <c r="D3" s="126"/>
    </row>
    <row r="4" spans="1:4" ht="25" customHeight="1" x14ac:dyDescent="0.2">
      <c r="A4" s="198"/>
      <c r="B4" s="127" t="s">
        <v>43</v>
      </c>
      <c r="C4" s="128"/>
      <c r="D4" s="129"/>
    </row>
    <row r="5" spans="1:4" ht="25" customHeight="1" x14ac:dyDescent="0.2">
      <c r="A5" s="198"/>
      <c r="B5" s="124" t="s">
        <v>44</v>
      </c>
      <c r="C5" s="125"/>
      <c r="D5" s="126"/>
    </row>
    <row r="6" spans="1:4" ht="25" customHeight="1" x14ac:dyDescent="0.2">
      <c r="A6" s="198"/>
      <c r="B6" s="127" t="s">
        <v>45</v>
      </c>
      <c r="C6" s="128"/>
      <c r="D6" s="129"/>
    </row>
    <row r="7" spans="1:4" ht="25" customHeight="1" x14ac:dyDescent="0.2">
      <c r="A7" s="199"/>
      <c r="B7" s="124" t="s">
        <v>46</v>
      </c>
      <c r="C7" s="125"/>
      <c r="D7" s="126"/>
    </row>
    <row r="8" spans="1:4" ht="25" customHeight="1" x14ac:dyDescent="0.2">
      <c r="A8" s="200"/>
      <c r="B8" s="127" t="s">
        <v>113</v>
      </c>
      <c r="C8" s="128"/>
      <c r="D8" s="129"/>
    </row>
    <row r="9" spans="1:4" ht="25" customHeight="1" x14ac:dyDescent="0.2">
      <c r="A9" s="201"/>
      <c r="B9" s="124" t="s">
        <v>43</v>
      </c>
      <c r="C9" s="125"/>
      <c r="D9" s="126"/>
    </row>
    <row r="10" spans="1:4" ht="25" customHeight="1" x14ac:dyDescent="0.2">
      <c r="A10" s="201"/>
      <c r="B10" s="127" t="s">
        <v>44</v>
      </c>
      <c r="C10" s="128"/>
      <c r="D10" s="129"/>
    </row>
    <row r="11" spans="1:4" ht="25" customHeight="1" x14ac:dyDescent="0.2">
      <c r="A11" s="201"/>
      <c r="B11" s="124" t="s">
        <v>45</v>
      </c>
      <c r="C11" s="125"/>
      <c r="D11" s="126"/>
    </row>
    <row r="12" spans="1:4" ht="25" customHeight="1" x14ac:dyDescent="0.2">
      <c r="A12" s="202"/>
      <c r="B12" s="130" t="s">
        <v>46</v>
      </c>
      <c r="C12" s="119"/>
      <c r="D12" s="120"/>
    </row>
    <row r="13" spans="1:4" ht="25" customHeight="1" x14ac:dyDescent="0.2"/>
    <row r="14" spans="1:4" ht="25" customHeight="1" x14ac:dyDescent="0.25">
      <c r="C14" s="131"/>
    </row>
    <row r="15" spans="1:4" ht="25" customHeight="1" x14ac:dyDescent="0.2"/>
    <row r="16" spans="1:4" ht="25" customHeight="1" x14ac:dyDescent="0.25">
      <c r="C16" s="131"/>
    </row>
    <row r="17" spans="3:3" ht="25" customHeight="1" x14ac:dyDescent="0.2"/>
    <row r="18" spans="3:3" ht="25" customHeight="1" x14ac:dyDescent="0.25">
      <c r="C18" s="131"/>
    </row>
    <row r="19" spans="3:3" ht="25" customHeight="1" x14ac:dyDescent="0.2"/>
    <row r="20" spans="3:3" ht="25" customHeight="1" x14ac:dyDescent="0.2"/>
    <row r="21" spans="3:3" ht="25" customHeight="1" x14ac:dyDescent="0.2"/>
    <row r="22" spans="3:3" ht="25" customHeight="1" x14ac:dyDescent="0.2"/>
    <row r="23" spans="3:3" ht="25" customHeight="1" x14ac:dyDescent="0.2"/>
    <row r="24" spans="3:3" ht="25" customHeight="1" x14ac:dyDescent="0.2"/>
    <row r="25" spans="3:3" ht="25" customHeight="1" x14ac:dyDescent="0.2"/>
    <row r="26" spans="3:3" ht="25" customHeight="1" x14ac:dyDescent="0.2"/>
    <row r="27" spans="3:3" ht="25" customHeight="1" x14ac:dyDescent="0.2"/>
    <row r="28" spans="3:3" ht="25" customHeight="1" x14ac:dyDescent="0.2"/>
    <row r="29" spans="3:3" ht="25" customHeight="1" x14ac:dyDescent="0.2"/>
    <row r="30" spans="3:3" ht="25" customHeight="1" x14ac:dyDescent="0.2"/>
    <row r="31" spans="3:3" ht="25" customHeight="1" x14ac:dyDescent="0.2"/>
    <row r="32" spans="3:3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</sheetData>
  <mergeCells count="2">
    <mergeCell ref="A3:A7"/>
    <mergeCell ref="A8:A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C2BE-8F03-C942-BB88-3B31679EEB18}">
  <dimension ref="B2:E46"/>
  <sheetViews>
    <sheetView topLeftCell="B22" zoomScale="131" workbookViewId="0">
      <selection activeCell="G32" sqref="G32"/>
    </sheetView>
  </sheetViews>
  <sheetFormatPr baseColWidth="10" defaultRowHeight="16" x14ac:dyDescent="0.2"/>
  <cols>
    <col min="2" max="2" width="9.33203125" customWidth="1"/>
    <col min="3" max="3" width="10.33203125" customWidth="1"/>
    <col min="4" max="4" width="73.83203125" customWidth="1"/>
    <col min="5" max="5" width="76.6640625" customWidth="1"/>
  </cols>
  <sheetData>
    <row r="2" spans="2:5" ht="21" x14ac:dyDescent="0.2">
      <c r="D2" s="117"/>
      <c r="E2" s="117"/>
    </row>
    <row r="4" spans="2:5" ht="25" customHeight="1" x14ac:dyDescent="0.2">
      <c r="B4" s="132"/>
      <c r="C4" s="133"/>
      <c r="D4" s="134" t="s">
        <v>136</v>
      </c>
      <c r="E4" s="135" t="s">
        <v>137</v>
      </c>
    </row>
    <row r="5" spans="2:5" ht="25" customHeight="1" x14ac:dyDescent="0.2">
      <c r="B5" s="203"/>
      <c r="C5" s="206" t="s">
        <v>113</v>
      </c>
      <c r="D5" s="125"/>
      <c r="E5" s="136"/>
    </row>
    <row r="6" spans="2:5" ht="25" customHeight="1" x14ac:dyDescent="0.2">
      <c r="B6" s="204"/>
      <c r="C6" s="207"/>
      <c r="D6" s="128"/>
      <c r="E6" s="137"/>
    </row>
    <row r="7" spans="2:5" ht="25" customHeight="1" x14ac:dyDescent="0.2">
      <c r="B7" s="204"/>
      <c r="C7" s="207"/>
      <c r="D7" s="125"/>
      <c r="E7" s="136"/>
    </row>
    <row r="8" spans="2:5" ht="25" customHeight="1" x14ac:dyDescent="0.2">
      <c r="B8" s="204"/>
      <c r="C8" s="208"/>
      <c r="D8" s="128"/>
      <c r="E8" s="137"/>
    </row>
    <row r="9" spans="2:5" ht="25" customHeight="1" x14ac:dyDescent="0.2">
      <c r="B9" s="204"/>
      <c r="C9" s="209" t="s">
        <v>43</v>
      </c>
      <c r="D9" s="125"/>
      <c r="E9" s="136"/>
    </row>
    <row r="10" spans="2:5" ht="25" customHeight="1" x14ac:dyDescent="0.2">
      <c r="B10" s="204"/>
      <c r="C10" s="210"/>
      <c r="D10" s="128"/>
      <c r="E10" s="137"/>
    </row>
    <row r="11" spans="2:5" ht="25" customHeight="1" x14ac:dyDescent="0.2">
      <c r="B11" s="204"/>
      <c r="C11" s="210"/>
      <c r="D11" s="125"/>
      <c r="E11" s="136"/>
    </row>
    <row r="12" spans="2:5" ht="25" customHeight="1" x14ac:dyDescent="0.2">
      <c r="B12" s="204"/>
      <c r="C12" s="211"/>
      <c r="D12" s="128"/>
      <c r="E12" s="137"/>
    </row>
    <row r="13" spans="2:5" ht="25" customHeight="1" x14ac:dyDescent="0.2">
      <c r="B13" s="204"/>
      <c r="C13" s="206" t="s">
        <v>44</v>
      </c>
      <c r="D13" s="125"/>
      <c r="E13" s="136"/>
    </row>
    <row r="14" spans="2:5" ht="25" customHeight="1" x14ac:dyDescent="0.2">
      <c r="B14" s="204"/>
      <c r="C14" s="207"/>
      <c r="D14" s="128"/>
      <c r="E14" s="137"/>
    </row>
    <row r="15" spans="2:5" ht="25" customHeight="1" x14ac:dyDescent="0.2">
      <c r="B15" s="204"/>
      <c r="C15" s="207"/>
      <c r="D15" s="125"/>
      <c r="E15" s="136"/>
    </row>
    <row r="16" spans="2:5" ht="25" customHeight="1" x14ac:dyDescent="0.2">
      <c r="B16" s="204"/>
      <c r="C16" s="208"/>
      <c r="D16" s="128"/>
      <c r="E16" s="137"/>
    </row>
    <row r="17" spans="2:5" ht="25" customHeight="1" x14ac:dyDescent="0.2">
      <c r="B17" s="204"/>
      <c r="C17" s="209" t="s">
        <v>45</v>
      </c>
      <c r="D17" s="125"/>
      <c r="E17" s="136"/>
    </row>
    <row r="18" spans="2:5" ht="25" customHeight="1" x14ac:dyDescent="0.2">
      <c r="B18" s="204"/>
      <c r="C18" s="210"/>
      <c r="D18" s="128"/>
      <c r="E18" s="137"/>
    </row>
    <row r="19" spans="2:5" ht="25" customHeight="1" x14ac:dyDescent="0.2">
      <c r="B19" s="204"/>
      <c r="C19" s="210"/>
      <c r="D19" s="125"/>
      <c r="E19" s="136"/>
    </row>
    <row r="20" spans="2:5" ht="25" customHeight="1" x14ac:dyDescent="0.2">
      <c r="B20" s="204"/>
      <c r="C20" s="211"/>
      <c r="D20" s="128"/>
      <c r="E20" s="137"/>
    </row>
    <row r="21" spans="2:5" ht="25" customHeight="1" x14ac:dyDescent="0.2">
      <c r="B21" s="204"/>
      <c r="C21" s="206" t="s">
        <v>138</v>
      </c>
      <c r="D21" s="125"/>
      <c r="E21" s="136"/>
    </row>
    <row r="22" spans="2:5" ht="25" customHeight="1" x14ac:dyDescent="0.2">
      <c r="B22" s="204"/>
      <c r="C22" s="207"/>
      <c r="D22" s="128"/>
      <c r="E22" s="137"/>
    </row>
    <row r="23" spans="2:5" ht="25" customHeight="1" x14ac:dyDescent="0.2">
      <c r="B23" s="204"/>
      <c r="C23" s="207"/>
      <c r="D23" s="125"/>
      <c r="E23" s="136"/>
    </row>
    <row r="24" spans="2:5" ht="25" customHeight="1" x14ac:dyDescent="0.2">
      <c r="B24" s="205"/>
      <c r="C24" s="208"/>
      <c r="D24" s="119"/>
      <c r="E24" s="138"/>
    </row>
    <row r="25" spans="2:5" ht="25" customHeight="1" x14ac:dyDescent="0.2"/>
    <row r="26" spans="2:5" ht="25" customHeight="1" x14ac:dyDescent="0.2">
      <c r="B26" s="132"/>
      <c r="C26" s="133"/>
      <c r="D26" s="134" t="s">
        <v>136</v>
      </c>
      <c r="E26" s="135" t="s">
        <v>137</v>
      </c>
    </row>
    <row r="27" spans="2:5" ht="25" customHeight="1" x14ac:dyDescent="0.2">
      <c r="B27" s="203"/>
      <c r="C27" s="206" t="s">
        <v>113</v>
      </c>
      <c r="D27" s="125"/>
      <c r="E27" s="136"/>
    </row>
    <row r="28" spans="2:5" ht="25" customHeight="1" x14ac:dyDescent="0.2">
      <c r="B28" s="204"/>
      <c r="C28" s="207"/>
      <c r="D28" s="128"/>
      <c r="E28" s="137"/>
    </row>
    <row r="29" spans="2:5" ht="25" customHeight="1" x14ac:dyDescent="0.2">
      <c r="B29" s="204"/>
      <c r="C29" s="207"/>
      <c r="D29" s="125"/>
      <c r="E29" s="136"/>
    </row>
    <row r="30" spans="2:5" ht="25" customHeight="1" x14ac:dyDescent="0.2">
      <c r="B30" s="204"/>
      <c r="C30" s="208"/>
      <c r="D30" s="128"/>
      <c r="E30" s="137"/>
    </row>
    <row r="31" spans="2:5" ht="25" customHeight="1" x14ac:dyDescent="0.2">
      <c r="B31" s="204"/>
      <c r="C31" s="209" t="s">
        <v>43</v>
      </c>
      <c r="D31" s="125"/>
      <c r="E31" s="136"/>
    </row>
    <row r="32" spans="2:5" ht="25" customHeight="1" x14ac:dyDescent="0.2">
      <c r="B32" s="204"/>
      <c r="C32" s="210"/>
      <c r="D32" s="128"/>
      <c r="E32" s="137"/>
    </row>
    <row r="33" spans="2:5" ht="25" customHeight="1" x14ac:dyDescent="0.2">
      <c r="B33" s="204"/>
      <c r="C33" s="210"/>
      <c r="D33" s="125"/>
      <c r="E33" s="136"/>
    </row>
    <row r="34" spans="2:5" ht="25" customHeight="1" x14ac:dyDescent="0.2">
      <c r="B34" s="204"/>
      <c r="C34" s="211"/>
      <c r="D34" s="128"/>
      <c r="E34" s="137"/>
    </row>
    <row r="35" spans="2:5" ht="25" customHeight="1" x14ac:dyDescent="0.2">
      <c r="B35" s="204"/>
      <c r="C35" s="206" t="s">
        <v>44</v>
      </c>
      <c r="D35" s="125"/>
      <c r="E35" s="136"/>
    </row>
    <row r="36" spans="2:5" ht="25" customHeight="1" x14ac:dyDescent="0.2">
      <c r="B36" s="204"/>
      <c r="C36" s="207"/>
      <c r="D36" s="128"/>
      <c r="E36" s="137"/>
    </row>
    <row r="37" spans="2:5" ht="25" customHeight="1" x14ac:dyDescent="0.2">
      <c r="B37" s="204"/>
      <c r="C37" s="207"/>
      <c r="D37" s="125"/>
      <c r="E37" s="136"/>
    </row>
    <row r="38" spans="2:5" ht="25" customHeight="1" x14ac:dyDescent="0.2">
      <c r="B38" s="204"/>
      <c r="C38" s="208"/>
      <c r="D38" s="128"/>
      <c r="E38" s="137"/>
    </row>
    <row r="39" spans="2:5" ht="25" customHeight="1" x14ac:dyDescent="0.2">
      <c r="B39" s="204"/>
      <c r="C39" s="209" t="s">
        <v>45</v>
      </c>
      <c r="D39" s="125"/>
      <c r="E39" s="136"/>
    </row>
    <row r="40" spans="2:5" ht="25" customHeight="1" x14ac:dyDescent="0.2">
      <c r="B40" s="204"/>
      <c r="C40" s="210"/>
      <c r="D40" s="128"/>
      <c r="E40" s="137"/>
    </row>
    <row r="41" spans="2:5" ht="25" customHeight="1" x14ac:dyDescent="0.2">
      <c r="B41" s="204"/>
      <c r="C41" s="210"/>
      <c r="D41" s="125"/>
      <c r="E41" s="136"/>
    </row>
    <row r="42" spans="2:5" ht="25" customHeight="1" x14ac:dyDescent="0.2">
      <c r="B42" s="204"/>
      <c r="C42" s="211"/>
      <c r="D42" s="128"/>
      <c r="E42" s="137"/>
    </row>
    <row r="43" spans="2:5" ht="25" customHeight="1" x14ac:dyDescent="0.2">
      <c r="B43" s="204"/>
      <c r="C43" s="206" t="s">
        <v>138</v>
      </c>
      <c r="D43" s="125"/>
      <c r="E43" s="136"/>
    </row>
    <row r="44" spans="2:5" ht="25" customHeight="1" x14ac:dyDescent="0.2">
      <c r="B44" s="204"/>
      <c r="C44" s="207"/>
      <c r="D44" s="128"/>
      <c r="E44" s="137"/>
    </row>
    <row r="45" spans="2:5" ht="25" customHeight="1" x14ac:dyDescent="0.2">
      <c r="B45" s="204"/>
      <c r="C45" s="207"/>
      <c r="D45" s="125"/>
      <c r="E45" s="136"/>
    </row>
    <row r="46" spans="2:5" ht="25" customHeight="1" x14ac:dyDescent="0.2">
      <c r="B46" s="205"/>
      <c r="C46" s="208"/>
      <c r="D46" s="119"/>
      <c r="E46" s="138"/>
    </row>
  </sheetData>
  <mergeCells count="12">
    <mergeCell ref="B5:B24"/>
    <mergeCell ref="B27:B46"/>
    <mergeCell ref="C27:C30"/>
    <mergeCell ref="C31:C34"/>
    <mergeCell ref="C35:C38"/>
    <mergeCell ref="C39:C42"/>
    <mergeCell ref="C43:C46"/>
    <mergeCell ref="C5:C8"/>
    <mergeCell ref="C9:C12"/>
    <mergeCell ref="C13:C16"/>
    <mergeCell ref="C17:C20"/>
    <mergeCell ref="C21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B1C8-BC7D-404D-B292-9C7C21D896B6}">
  <dimension ref="A3:AD229"/>
  <sheetViews>
    <sheetView tabSelected="1" zoomScaleNormal="120" workbookViewId="0">
      <selection activeCell="D33" sqref="D33:H33"/>
    </sheetView>
  </sheetViews>
  <sheetFormatPr baseColWidth="10" defaultRowHeight="16" x14ac:dyDescent="0.2"/>
  <cols>
    <col min="1" max="1" width="11.1640625" bestFit="1" customWidth="1"/>
    <col min="2" max="2" width="9" customWidth="1"/>
    <col min="3" max="3" width="14.1640625" customWidth="1"/>
    <col min="4" max="4" width="21" customWidth="1"/>
    <col min="5" max="5" width="18.33203125" customWidth="1"/>
    <col min="6" max="8" width="20.83203125" customWidth="1"/>
    <col min="9" max="13" width="12.83203125" customWidth="1"/>
    <col min="14" max="14" width="17.33203125" customWidth="1"/>
    <col min="16" max="16" width="11.6640625" customWidth="1"/>
    <col min="17" max="26" width="12.83203125" customWidth="1"/>
  </cols>
  <sheetData>
    <row r="3" spans="1:26" x14ac:dyDescent="0.2">
      <c r="C3" s="146" t="s">
        <v>35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P3" s="146" t="s">
        <v>35</v>
      </c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x14ac:dyDescent="0.2">
      <c r="C4" s="1" t="s">
        <v>40</v>
      </c>
      <c r="D4" s="147" t="s">
        <v>107</v>
      </c>
      <c r="E4" s="147"/>
      <c r="F4" s="147"/>
      <c r="G4" s="147"/>
      <c r="H4" s="147"/>
      <c r="I4" s="148" t="s">
        <v>108</v>
      </c>
      <c r="J4" s="148"/>
      <c r="K4" s="148"/>
      <c r="L4" s="148"/>
      <c r="M4" s="148"/>
      <c r="P4" s="1" t="s">
        <v>41</v>
      </c>
      <c r="Q4" s="147" t="s">
        <v>107</v>
      </c>
      <c r="R4" s="147"/>
      <c r="S4" s="147"/>
      <c r="T4" s="147"/>
      <c r="U4" s="147"/>
      <c r="V4" s="148" t="s">
        <v>108</v>
      </c>
      <c r="W4" s="148"/>
      <c r="X4" s="148"/>
      <c r="Y4" s="148"/>
      <c r="Z4" s="148"/>
    </row>
    <row r="5" spans="1:26" ht="30" customHeight="1" x14ac:dyDescent="0.2">
      <c r="A5" s="2" t="s">
        <v>54</v>
      </c>
      <c r="C5" s="2" t="s">
        <v>20</v>
      </c>
      <c r="D5" s="2" t="s">
        <v>21</v>
      </c>
      <c r="E5" s="2" t="s">
        <v>22</v>
      </c>
      <c r="F5" s="2" t="s">
        <v>29</v>
      </c>
      <c r="G5" s="2" t="s">
        <v>30</v>
      </c>
      <c r="H5" s="2" t="s">
        <v>31</v>
      </c>
      <c r="I5" s="2" t="s">
        <v>23</v>
      </c>
      <c r="J5" s="2" t="s">
        <v>24</v>
      </c>
      <c r="K5" s="2" t="s">
        <v>32</v>
      </c>
      <c r="L5" s="2" t="s">
        <v>34</v>
      </c>
      <c r="M5" s="2" t="s">
        <v>33</v>
      </c>
      <c r="P5" s="1" t="s">
        <v>20</v>
      </c>
      <c r="Q5" s="7" t="s">
        <v>21</v>
      </c>
      <c r="R5" s="1" t="s">
        <v>22</v>
      </c>
      <c r="S5" s="7" t="s">
        <v>29</v>
      </c>
      <c r="T5" s="1" t="s">
        <v>30</v>
      </c>
      <c r="U5" s="7" t="s">
        <v>31</v>
      </c>
      <c r="V5" s="1" t="s">
        <v>23</v>
      </c>
      <c r="W5" s="7" t="s">
        <v>24</v>
      </c>
      <c r="X5" s="1" t="s">
        <v>32</v>
      </c>
      <c r="Y5" s="7" t="s">
        <v>34</v>
      </c>
      <c r="Z5" s="1" t="s">
        <v>33</v>
      </c>
    </row>
    <row r="6" spans="1:26" x14ac:dyDescent="0.2">
      <c r="A6" s="4">
        <v>26.46942315021014</v>
      </c>
      <c r="C6" s="3">
        <v>50</v>
      </c>
      <c r="D6" s="45">
        <v>59.706195316387223</v>
      </c>
      <c r="E6" s="45">
        <v>48.476713919392402</v>
      </c>
      <c r="F6" s="45">
        <v>61.952090389494892</v>
      </c>
      <c r="G6" s="45">
        <v>65.040209826301123</v>
      </c>
      <c r="H6" s="45">
        <v>57.781042531574741</v>
      </c>
      <c r="I6" s="45">
        <v>55.78968669877586</v>
      </c>
      <c r="J6" s="45">
        <v>46.526660543631287</v>
      </c>
      <c r="K6" s="45">
        <v>59.582931477682934</v>
      </c>
      <c r="L6" s="45">
        <v>60.533370098882344</v>
      </c>
      <c r="M6" s="45">
        <v>57.504116921279333</v>
      </c>
      <c r="P6" s="8">
        <v>50</v>
      </c>
      <c r="Q6" s="49">
        <v>87.181794776770346</v>
      </c>
      <c r="R6" s="49">
        <v>83.123510114723274</v>
      </c>
      <c r="S6" s="49">
        <v>75.823652182322732</v>
      </c>
      <c r="T6" s="49">
        <v>75.199756914642251</v>
      </c>
      <c r="U6" s="49">
        <v>72.485892377786755</v>
      </c>
      <c r="V6" s="49">
        <v>80.057120008933168</v>
      </c>
      <c r="W6" s="49">
        <v>77.602896688612347</v>
      </c>
      <c r="X6" s="49">
        <v>82.97510590091828</v>
      </c>
      <c r="Y6" s="49">
        <v>86.334530548615888</v>
      </c>
      <c r="Z6" s="49">
        <v>70.388628232399853</v>
      </c>
    </row>
    <row r="7" spans="1:26" x14ac:dyDescent="0.2">
      <c r="A7" s="4">
        <v>19.024018184726351</v>
      </c>
      <c r="C7" s="3">
        <v>63</v>
      </c>
      <c r="D7" s="45">
        <v>52.464529244165455</v>
      </c>
      <c r="E7" s="45">
        <v>47.631706744741429</v>
      </c>
      <c r="F7" s="45">
        <v>52.346912024703968</v>
      </c>
      <c r="G7" s="45">
        <v>50.991755933432131</v>
      </c>
      <c r="H7" s="45">
        <v>49.1071615191738</v>
      </c>
      <c r="I7" s="45">
        <v>41.87870631235171</v>
      </c>
      <c r="J7" s="45">
        <v>42.494247036623541</v>
      </c>
      <c r="K7" s="45">
        <v>42.694363250051225</v>
      </c>
      <c r="L7" s="45">
        <v>40.994605283433891</v>
      </c>
      <c r="M7" s="45">
        <v>40.172887880883479</v>
      </c>
      <c r="P7" s="8">
        <v>63</v>
      </c>
      <c r="Q7" s="50">
        <v>92.844971828533772</v>
      </c>
      <c r="R7" s="50">
        <v>86.114745145423385</v>
      </c>
      <c r="S7" s="50">
        <v>80.13753092911621</v>
      </c>
      <c r="T7" s="50">
        <v>83.46411587544624</v>
      </c>
      <c r="U7" s="50">
        <v>88.630660412782092</v>
      </c>
      <c r="V7" s="50">
        <v>79.093252646547327</v>
      </c>
      <c r="W7" s="50">
        <v>82.151660413373236</v>
      </c>
      <c r="X7" s="50">
        <v>84.974258987455713</v>
      </c>
      <c r="Y7" s="50">
        <v>89.834457751476407</v>
      </c>
      <c r="Z7" s="50">
        <v>75.092467182155801</v>
      </c>
    </row>
    <row r="8" spans="1:26" x14ac:dyDescent="0.2">
      <c r="A8" s="4">
        <v>25.637379282937712</v>
      </c>
      <c r="C8" s="3">
        <v>80</v>
      </c>
      <c r="D8" s="45">
        <v>56.711367868198643</v>
      </c>
      <c r="E8" s="45">
        <v>61.899039912965364</v>
      </c>
      <c r="F8" s="45">
        <v>62.312417557532171</v>
      </c>
      <c r="G8" s="45">
        <v>57.470220848959698</v>
      </c>
      <c r="H8" s="45">
        <v>58.473574788946856</v>
      </c>
      <c r="I8" s="45">
        <v>42.974330120568673</v>
      </c>
      <c r="J8" s="45">
        <v>50.319312353838328</v>
      </c>
      <c r="K8" s="45">
        <v>50.104093095234461</v>
      </c>
      <c r="L8" s="45">
        <v>50.05688986087435</v>
      </c>
      <c r="M8" s="45">
        <v>42.669053493753154</v>
      </c>
      <c r="P8" s="8">
        <v>80</v>
      </c>
      <c r="Q8" s="49">
        <v>89.722451359832874</v>
      </c>
      <c r="R8" s="49">
        <v>90.158799101927571</v>
      </c>
      <c r="S8" s="49">
        <v>87.605818955873374</v>
      </c>
      <c r="T8" s="49">
        <v>90.641555959364098</v>
      </c>
      <c r="U8" s="49">
        <v>94.160373720163662</v>
      </c>
      <c r="V8" s="49">
        <v>82.820581539995686</v>
      </c>
      <c r="W8" s="49">
        <v>94.344562130079737</v>
      </c>
      <c r="X8" s="49">
        <v>92.791803501136386</v>
      </c>
      <c r="Y8" s="49">
        <v>95.41781262195471</v>
      </c>
      <c r="Z8" s="49">
        <v>83.465417867372523</v>
      </c>
    </row>
    <row r="9" spans="1:26" x14ac:dyDescent="0.2">
      <c r="A9" s="4">
        <v>21.279253120075122</v>
      </c>
      <c r="C9" s="3">
        <v>100</v>
      </c>
      <c r="D9" s="45">
        <v>53.847496569383281</v>
      </c>
      <c r="E9" s="45">
        <v>50.973976645797741</v>
      </c>
      <c r="F9" s="45">
        <v>52.024259024637296</v>
      </c>
      <c r="G9" s="45">
        <v>52.363636814690885</v>
      </c>
      <c r="H9" s="45">
        <v>57.288266035016072</v>
      </c>
      <c r="I9" s="45">
        <v>45.58057539557722</v>
      </c>
      <c r="J9" s="45">
        <v>47.47168920859491</v>
      </c>
      <c r="K9" s="45">
        <v>47.511398669651577</v>
      </c>
      <c r="L9" s="45">
        <v>47.996973185994179</v>
      </c>
      <c r="M9" s="45">
        <v>48.797236680556459</v>
      </c>
      <c r="P9" s="8">
        <v>100</v>
      </c>
      <c r="Q9" s="50">
        <v>80.836505414882382</v>
      </c>
      <c r="R9" s="50">
        <v>86.53137559979875</v>
      </c>
      <c r="S9" s="50">
        <v>87.170813202744768</v>
      </c>
      <c r="T9" s="50">
        <v>89.299503654833657</v>
      </c>
      <c r="U9" s="50">
        <v>84.064621166196829</v>
      </c>
      <c r="V9" s="50">
        <v>82.54241943359375</v>
      </c>
      <c r="W9" s="50">
        <v>88.224942307445886</v>
      </c>
      <c r="X9" s="50">
        <v>92.294432428349126</v>
      </c>
      <c r="Y9" s="50">
        <v>89.766342365380495</v>
      </c>
      <c r="Z9" s="50">
        <v>88.750856571614122</v>
      </c>
    </row>
    <row r="10" spans="1:26" x14ac:dyDescent="0.2">
      <c r="A10" s="4">
        <v>19.664507151580136</v>
      </c>
      <c r="C10" s="3">
        <v>125</v>
      </c>
      <c r="D10" s="45">
        <v>58.666959454351506</v>
      </c>
      <c r="E10" s="45">
        <v>53.224786490567105</v>
      </c>
      <c r="F10" s="45">
        <v>57.128313636235347</v>
      </c>
      <c r="G10" s="45">
        <v>60.450094655782237</v>
      </c>
      <c r="H10" s="45">
        <v>60.913541959917715</v>
      </c>
      <c r="I10" s="45">
        <v>51.402307668747888</v>
      </c>
      <c r="J10" s="45">
        <v>59.461361724241492</v>
      </c>
      <c r="K10" s="45">
        <v>55.799221631458828</v>
      </c>
      <c r="L10" s="45">
        <v>57.54967747475991</v>
      </c>
      <c r="M10" s="45">
        <v>59.317377412340583</v>
      </c>
      <c r="P10" s="8">
        <v>125</v>
      </c>
      <c r="Q10" s="49">
        <v>92.125066128727127</v>
      </c>
      <c r="R10" s="49">
        <v>90.683369816575095</v>
      </c>
      <c r="S10" s="49">
        <v>90.092565436874921</v>
      </c>
      <c r="T10" s="49">
        <v>90.607802153761469</v>
      </c>
      <c r="U10" s="49">
        <v>89.250103634410138</v>
      </c>
      <c r="V10" s="49">
        <v>90.318446125660842</v>
      </c>
      <c r="W10" s="49">
        <v>89.046106826754126</v>
      </c>
      <c r="X10" s="49">
        <v>93.052286933450134</v>
      </c>
      <c r="Y10" s="49">
        <v>90.957123619137391</v>
      </c>
      <c r="Z10" s="49">
        <v>88.838520068162296</v>
      </c>
    </row>
    <row r="11" spans="1:26" x14ac:dyDescent="0.2">
      <c r="A11" s="4">
        <v>22.19456680109349</v>
      </c>
      <c r="C11" s="3">
        <v>160</v>
      </c>
      <c r="D11" s="45">
        <v>59.272757153094041</v>
      </c>
      <c r="E11" s="45">
        <v>56.611587172066905</v>
      </c>
      <c r="F11" s="45">
        <v>59.740743533641698</v>
      </c>
      <c r="G11" s="45">
        <v>60.879032961349417</v>
      </c>
      <c r="H11" s="45">
        <v>61.184793287943428</v>
      </c>
      <c r="I11" s="45">
        <v>59.638913667589321</v>
      </c>
      <c r="J11" s="45">
        <v>62.426854949923353</v>
      </c>
      <c r="K11" s="45">
        <v>63.544694788115365</v>
      </c>
      <c r="L11" s="45">
        <v>61.318646430969238</v>
      </c>
      <c r="M11" s="45">
        <v>59.315413606873108</v>
      </c>
      <c r="P11" s="8">
        <v>160</v>
      </c>
      <c r="Q11" s="50">
        <v>97.975730742531255</v>
      </c>
      <c r="R11" s="50">
        <v>98.276448572461845</v>
      </c>
      <c r="S11" s="50">
        <v>92.666166169690953</v>
      </c>
      <c r="T11" s="50">
        <v>91.621883663007864</v>
      </c>
      <c r="U11" s="50">
        <v>94.391020402917334</v>
      </c>
      <c r="V11" s="50">
        <v>102.16405054946797</v>
      </c>
      <c r="W11" s="50">
        <v>96.205488665108305</v>
      </c>
      <c r="X11" s="50">
        <v>101.34612368270614</v>
      </c>
      <c r="Y11" s="50">
        <v>92.074796337069884</v>
      </c>
      <c r="Z11" s="50">
        <v>100.67327406286401</v>
      </c>
    </row>
    <row r="12" spans="1:26" x14ac:dyDescent="0.2">
      <c r="A12" s="4">
        <v>20.456081392861158</v>
      </c>
      <c r="C12" s="3">
        <v>200</v>
      </c>
      <c r="D12" s="45">
        <v>59.41733439340338</v>
      </c>
      <c r="E12" s="45">
        <v>59.424330061499965</v>
      </c>
      <c r="F12" s="45">
        <v>57.525853016396908</v>
      </c>
      <c r="G12" s="45">
        <v>61.312804541779279</v>
      </c>
      <c r="H12" s="45">
        <v>57.852374523108082</v>
      </c>
      <c r="I12" s="45">
        <v>61.863183376160769</v>
      </c>
      <c r="J12" s="45">
        <v>60.45438259823711</v>
      </c>
      <c r="K12" s="45">
        <v>59.786989848954335</v>
      </c>
      <c r="L12" s="45">
        <v>59.414812374451976</v>
      </c>
      <c r="M12" s="45">
        <v>60.037357820000643</v>
      </c>
      <c r="P12" s="8">
        <v>200</v>
      </c>
      <c r="Q12" s="49">
        <v>99.83855492310505</v>
      </c>
      <c r="R12" s="49">
        <v>103.18007895211193</v>
      </c>
      <c r="S12" s="49">
        <v>96.516998617058121</v>
      </c>
      <c r="T12" s="49">
        <v>96.175737653459819</v>
      </c>
      <c r="U12" s="49">
        <v>102.22891736053093</v>
      </c>
      <c r="V12" s="49">
        <v>100.08203963723315</v>
      </c>
      <c r="W12" s="49">
        <v>101.38444249274322</v>
      </c>
      <c r="X12" s="49">
        <v>98.564226320617792</v>
      </c>
      <c r="Y12" s="49">
        <v>95.428023309418649</v>
      </c>
      <c r="Z12" s="49">
        <v>99.052820957397572</v>
      </c>
    </row>
    <row r="13" spans="1:26" x14ac:dyDescent="0.2">
      <c r="A13" s="4">
        <v>20.662895160471663</v>
      </c>
      <c r="C13" s="3">
        <v>250</v>
      </c>
      <c r="D13" s="45">
        <v>58.124743642915789</v>
      </c>
      <c r="E13" s="45">
        <v>57.947030968985167</v>
      </c>
      <c r="F13" s="45">
        <v>57.585608031384496</v>
      </c>
      <c r="G13" s="45">
        <v>60.87044004410032</v>
      </c>
      <c r="H13" s="45">
        <v>60.796009680643039</v>
      </c>
      <c r="I13" s="45">
        <v>56.648542896504864</v>
      </c>
      <c r="J13" s="45">
        <v>59.347670973270944</v>
      </c>
      <c r="K13" s="45">
        <v>59.221481932912553</v>
      </c>
      <c r="L13" s="45">
        <v>59.575628866997711</v>
      </c>
      <c r="M13" s="45">
        <v>62.27843290770717</v>
      </c>
      <c r="P13" s="8">
        <v>250</v>
      </c>
      <c r="Q13" s="50">
        <v>100.68045104600461</v>
      </c>
      <c r="R13" s="50">
        <v>105.47880425141237</v>
      </c>
      <c r="S13" s="50">
        <v>102.62180219688307</v>
      </c>
      <c r="T13" s="50">
        <v>104.05067718130525</v>
      </c>
      <c r="U13" s="50">
        <v>104.69362169937551</v>
      </c>
      <c r="V13" s="50">
        <v>103.05628069537872</v>
      </c>
      <c r="W13" s="50">
        <v>98.084716206756084</v>
      </c>
      <c r="X13" s="50">
        <v>99.689839878842321</v>
      </c>
      <c r="Y13" s="50">
        <v>92.934385184085727</v>
      </c>
      <c r="Z13" s="50">
        <v>101.89530814407219</v>
      </c>
    </row>
    <row r="14" spans="1:26" x14ac:dyDescent="0.2">
      <c r="A14" s="4">
        <v>21.240521553743957</v>
      </c>
      <c r="C14" s="3">
        <v>315</v>
      </c>
      <c r="D14" s="45">
        <v>62.372358394666314</v>
      </c>
      <c r="E14" s="45">
        <v>60.199775893546636</v>
      </c>
      <c r="F14" s="45">
        <v>62.776208752342683</v>
      </c>
      <c r="G14" s="45">
        <v>62.773977220893244</v>
      </c>
      <c r="H14" s="45">
        <v>60.932455568450493</v>
      </c>
      <c r="I14" s="45">
        <v>63.081832100768381</v>
      </c>
      <c r="J14" s="45">
        <v>62.593729799839181</v>
      </c>
      <c r="K14" s="45">
        <v>60.000269814899987</v>
      </c>
      <c r="L14" s="45">
        <v>63.9216657847482</v>
      </c>
      <c r="M14" s="45">
        <v>64.793341162388799</v>
      </c>
      <c r="P14" s="8">
        <v>315</v>
      </c>
      <c r="Q14" s="49">
        <v>102.39969116152474</v>
      </c>
      <c r="R14" s="49">
        <v>102.61549303999571</v>
      </c>
      <c r="S14" s="49">
        <v>104.31009310353743</v>
      </c>
      <c r="T14" s="49">
        <v>101.40336061764576</v>
      </c>
      <c r="U14" s="49">
        <v>101.85779145756794</v>
      </c>
      <c r="V14" s="49">
        <v>103.57878066156746</v>
      </c>
      <c r="W14" s="49">
        <v>100.42696854115411</v>
      </c>
      <c r="X14" s="49">
        <v>104.38282757782619</v>
      </c>
      <c r="Y14" s="49">
        <v>98.715053002039596</v>
      </c>
      <c r="Z14" s="49">
        <v>100.5370927033601</v>
      </c>
    </row>
    <row r="15" spans="1:26" x14ac:dyDescent="0.2">
      <c r="A15" s="4">
        <v>21.45340151594581</v>
      </c>
      <c r="C15" s="3">
        <v>400</v>
      </c>
      <c r="D15" s="45">
        <v>61.355392100693152</v>
      </c>
      <c r="E15" s="45">
        <v>61.999404598023958</v>
      </c>
      <c r="F15" s="45">
        <v>60.348008730205095</v>
      </c>
      <c r="G15" s="45">
        <v>62.064096470395612</v>
      </c>
      <c r="H15" s="45">
        <v>61.359957429438687</v>
      </c>
      <c r="I15" s="45">
        <v>61.35584161255764</v>
      </c>
      <c r="J15" s="45">
        <v>59.54741896470243</v>
      </c>
      <c r="K15" s="45">
        <v>58.657710068566459</v>
      </c>
      <c r="L15" s="45">
        <v>60.237661307776357</v>
      </c>
      <c r="M15" s="45">
        <v>60.620819560929306</v>
      </c>
      <c r="P15" s="8">
        <v>400</v>
      </c>
      <c r="Q15" s="50">
        <v>102.43656876078055</v>
      </c>
      <c r="R15" s="50">
        <v>102.3290948743018</v>
      </c>
      <c r="S15" s="50">
        <v>102.96813498965243</v>
      </c>
      <c r="T15" s="50">
        <v>103.32413372231071</v>
      </c>
      <c r="U15" s="50">
        <v>103.53200255800127</v>
      </c>
      <c r="V15" s="50">
        <v>102.29772960877806</v>
      </c>
      <c r="W15" s="50">
        <v>100.16849623903165</v>
      </c>
      <c r="X15" s="50">
        <v>101.23107393326298</v>
      </c>
      <c r="Y15" s="50">
        <v>102.39585005153309</v>
      </c>
      <c r="Z15" s="50">
        <v>103.49666707037974</v>
      </c>
    </row>
    <row r="16" spans="1:26" x14ac:dyDescent="0.2">
      <c r="A16" s="4">
        <v>21.834310797008023</v>
      </c>
      <c r="C16" s="3">
        <v>500</v>
      </c>
      <c r="D16" s="45">
        <v>57.530844021206121</v>
      </c>
      <c r="E16" s="45">
        <v>58.427265174427085</v>
      </c>
      <c r="F16" s="45">
        <v>56.77840810861052</v>
      </c>
      <c r="G16" s="45">
        <v>56.302952728129014</v>
      </c>
      <c r="H16" s="45">
        <v>57.061953414113901</v>
      </c>
      <c r="I16" s="45">
        <v>56.594453374401326</v>
      </c>
      <c r="J16" s="45">
        <v>57.296832200278992</v>
      </c>
      <c r="K16" s="45">
        <v>57.682916968209405</v>
      </c>
      <c r="L16" s="45">
        <v>57.652902818821346</v>
      </c>
      <c r="M16" s="45">
        <v>57.367041069044461</v>
      </c>
      <c r="P16" s="8">
        <v>500</v>
      </c>
      <c r="Q16" s="49">
        <v>102.41400574724337</v>
      </c>
      <c r="R16" s="49">
        <v>102.57454388342171</v>
      </c>
      <c r="S16" s="49">
        <v>98.399757138910687</v>
      </c>
      <c r="T16" s="49">
        <v>98.826064197320136</v>
      </c>
      <c r="U16" s="49">
        <v>101.17206345108796</v>
      </c>
      <c r="V16" s="49">
        <v>101.32755777236953</v>
      </c>
      <c r="W16" s="49">
        <v>101.93577269383776</v>
      </c>
      <c r="X16" s="49">
        <v>101.45037630432245</v>
      </c>
      <c r="Y16" s="49">
        <v>101.06620248158772</v>
      </c>
      <c r="Z16" s="49">
        <v>100.15221033340845</v>
      </c>
    </row>
    <row r="17" spans="1:30" x14ac:dyDescent="0.2">
      <c r="A17" s="4">
        <v>22.146913411868407</v>
      </c>
      <c r="C17" s="3">
        <v>630</v>
      </c>
      <c r="D17" s="45">
        <v>51.290032056801216</v>
      </c>
      <c r="E17" s="45">
        <v>52.432202571973164</v>
      </c>
      <c r="F17" s="45">
        <v>53.145534330271857</v>
      </c>
      <c r="G17" s="45">
        <v>50.209741843514749</v>
      </c>
      <c r="H17" s="45">
        <v>53.113702421781547</v>
      </c>
      <c r="I17" s="45">
        <v>51.330596221483141</v>
      </c>
      <c r="J17" s="45">
        <v>51.42319912071541</v>
      </c>
      <c r="K17" s="45">
        <v>52.248898492540633</v>
      </c>
      <c r="L17" s="45">
        <v>52.53056075968928</v>
      </c>
      <c r="M17" s="45">
        <v>52.837579271737724</v>
      </c>
      <c r="P17" s="8">
        <v>630</v>
      </c>
      <c r="Q17" s="50">
        <v>102.41162284763379</v>
      </c>
      <c r="R17" s="50">
        <v>100.1758442317214</v>
      </c>
      <c r="S17" s="50">
        <v>98.154932657877609</v>
      </c>
      <c r="T17" s="50">
        <v>97.824363232110059</v>
      </c>
      <c r="U17" s="50">
        <v>101.2099479336689</v>
      </c>
      <c r="V17" s="50">
        <v>102.0639731143926</v>
      </c>
      <c r="W17" s="50">
        <v>97.415841490743787</v>
      </c>
      <c r="X17" s="50">
        <v>101.68213686861621</v>
      </c>
      <c r="Y17" s="50">
        <v>101.74283155527982</v>
      </c>
      <c r="Z17" s="50">
        <v>101.02315561814412</v>
      </c>
    </row>
    <row r="18" spans="1:30" x14ac:dyDescent="0.2">
      <c r="A18" s="4">
        <v>22.666651875827029</v>
      </c>
      <c r="C18" s="3">
        <v>800</v>
      </c>
      <c r="D18" s="45">
        <v>47.463915567434334</v>
      </c>
      <c r="E18" s="45">
        <v>50.245524116106239</v>
      </c>
      <c r="F18" s="45">
        <v>48.217770519311038</v>
      </c>
      <c r="G18" s="45">
        <v>49.698509775512584</v>
      </c>
      <c r="H18" s="45">
        <v>49.866004520398008</v>
      </c>
      <c r="I18" s="45">
        <v>48.676824642002366</v>
      </c>
      <c r="J18" s="45">
        <v>49.049187749760087</v>
      </c>
      <c r="K18" s="45">
        <v>48.053345016070772</v>
      </c>
      <c r="L18" s="45">
        <v>49.918870201380429</v>
      </c>
      <c r="M18" s="45">
        <v>50.66378666382932</v>
      </c>
      <c r="P18" s="8">
        <v>800</v>
      </c>
      <c r="Q18" s="49">
        <v>101.14085828116113</v>
      </c>
      <c r="R18" s="49">
        <v>98.856015913063118</v>
      </c>
      <c r="S18" s="49">
        <v>98.245944835521556</v>
      </c>
      <c r="T18" s="49">
        <v>99.096685360824594</v>
      </c>
      <c r="U18" s="49">
        <v>101.64146270607867</v>
      </c>
      <c r="V18" s="49">
        <v>98.086578216115527</v>
      </c>
      <c r="W18" s="49">
        <v>99.59022745374817</v>
      </c>
      <c r="X18" s="49">
        <v>99.965698647544329</v>
      </c>
      <c r="Y18" s="49">
        <v>97.925270029992774</v>
      </c>
      <c r="Z18" s="49">
        <v>100.74278038292982</v>
      </c>
    </row>
    <row r="19" spans="1:30" x14ac:dyDescent="0.2">
      <c r="A19" s="4">
        <v>23.385404400769694</v>
      </c>
      <c r="C19" s="3">
        <v>1000</v>
      </c>
      <c r="D19" s="45">
        <v>46.21238998224527</v>
      </c>
      <c r="E19" s="45">
        <v>46.118003960266975</v>
      </c>
      <c r="F19" s="45">
        <v>47.407643823596437</v>
      </c>
      <c r="G19" s="45">
        <v>48.399570550571305</v>
      </c>
      <c r="H19" s="45">
        <v>46.715227848034729</v>
      </c>
      <c r="I19" s="45">
        <v>47.31824779510498</v>
      </c>
      <c r="J19" s="45">
        <v>47.559063635854798</v>
      </c>
      <c r="K19" s="45">
        <v>47.276751681736535</v>
      </c>
      <c r="L19" s="45">
        <v>48.29105877286554</v>
      </c>
      <c r="M19" s="45">
        <v>47.151827762542119</v>
      </c>
      <c r="P19" s="8">
        <v>1000</v>
      </c>
      <c r="Q19" s="50">
        <v>100.02055724279177</v>
      </c>
      <c r="R19" s="50">
        <v>99.625883726316076</v>
      </c>
      <c r="S19" s="50">
        <v>97.482781941847691</v>
      </c>
      <c r="T19" s="50">
        <v>99.898631634527263</v>
      </c>
      <c r="U19" s="50">
        <v>99.687617481148834</v>
      </c>
      <c r="V19" s="50">
        <v>98.493062016615553</v>
      </c>
      <c r="W19" s="50">
        <v>98.167160258986897</v>
      </c>
      <c r="X19" s="50">
        <v>98.675611282435497</v>
      </c>
      <c r="Y19" s="50">
        <v>98.734252279455006</v>
      </c>
      <c r="Z19" s="50">
        <v>98.962460741584678</v>
      </c>
    </row>
    <row r="20" spans="1:30" x14ac:dyDescent="0.2">
      <c r="A20" s="4">
        <v>24.0174561464585</v>
      </c>
      <c r="C20" s="3">
        <v>1250</v>
      </c>
      <c r="D20" s="45">
        <v>45.095756026728523</v>
      </c>
      <c r="E20" s="45">
        <v>45.06037874788074</v>
      </c>
      <c r="F20" s="45">
        <v>45.464939226319288</v>
      </c>
      <c r="G20" s="45">
        <v>46.593776197104006</v>
      </c>
      <c r="H20" s="45">
        <v>45.738344964570409</v>
      </c>
      <c r="I20" s="45">
        <v>46.772535079653082</v>
      </c>
      <c r="J20" s="45">
        <v>46.315230220909434</v>
      </c>
      <c r="K20" s="45">
        <v>45.850445818901065</v>
      </c>
      <c r="L20" s="45">
        <v>47.760107737969172</v>
      </c>
      <c r="M20" s="45">
        <v>46.890673060391492</v>
      </c>
      <c r="P20" s="8">
        <v>1250</v>
      </c>
      <c r="Q20" s="49">
        <v>97.650089256608169</v>
      </c>
      <c r="R20" s="49">
        <v>97.888356638400353</v>
      </c>
      <c r="S20" s="49">
        <v>95.853570240741675</v>
      </c>
      <c r="T20" s="49">
        <v>96.185030248780919</v>
      </c>
      <c r="U20" s="49">
        <v>96.777969763794516</v>
      </c>
      <c r="V20" s="49">
        <v>97.674552064912021</v>
      </c>
      <c r="W20" s="49">
        <v>95.087837296515758</v>
      </c>
      <c r="X20" s="49">
        <v>98.393778770200669</v>
      </c>
      <c r="Y20" s="49">
        <v>95.710289528875634</v>
      </c>
      <c r="Z20" s="49">
        <v>96.985578741669542</v>
      </c>
    </row>
    <row r="21" spans="1:30" x14ac:dyDescent="0.2">
      <c r="A21" s="4">
        <v>25.004070056275367</v>
      </c>
      <c r="C21" s="3">
        <v>1600</v>
      </c>
      <c r="D21" s="45">
        <v>43.506744109179131</v>
      </c>
      <c r="E21" s="45">
        <v>44.406352946490863</v>
      </c>
      <c r="F21" s="45">
        <v>43.798555121889123</v>
      </c>
      <c r="G21" s="45">
        <v>44.511233140106626</v>
      </c>
      <c r="H21" s="45">
        <v>43.475523767060643</v>
      </c>
      <c r="I21" s="45">
        <v>43.064515358274164</v>
      </c>
      <c r="J21" s="45">
        <v>45.224184020606629</v>
      </c>
      <c r="K21" s="45">
        <v>43.914423179626468</v>
      </c>
      <c r="L21" s="45">
        <v>46.287050648207376</v>
      </c>
      <c r="M21" s="45">
        <v>45.13378133037574</v>
      </c>
      <c r="P21" s="8">
        <v>1600</v>
      </c>
      <c r="Q21" s="50">
        <v>95.611304907963188</v>
      </c>
      <c r="R21" s="50">
        <v>97.603268347053884</v>
      </c>
      <c r="S21" s="50">
        <v>95.569945303689607</v>
      </c>
      <c r="T21" s="50">
        <v>94.178634910619593</v>
      </c>
      <c r="U21" s="50">
        <v>97.603458934059901</v>
      </c>
      <c r="V21" s="50">
        <v>96.05450388444757</v>
      </c>
      <c r="W21" s="50">
        <v>95.336600337019718</v>
      </c>
      <c r="X21" s="50">
        <v>95.879291201452148</v>
      </c>
      <c r="Y21" s="50">
        <v>95.929601864381269</v>
      </c>
      <c r="Z21" s="50">
        <v>95.550884395356647</v>
      </c>
    </row>
    <row r="22" spans="1:30" x14ac:dyDescent="0.2">
      <c r="A22" s="4">
        <v>25.738647262513716</v>
      </c>
      <c r="C22" s="3">
        <v>2000</v>
      </c>
      <c r="D22" s="45">
        <v>43.721501665876843</v>
      </c>
      <c r="E22" s="45">
        <v>44.78197937299349</v>
      </c>
      <c r="F22" s="45">
        <v>44.81853508336787</v>
      </c>
      <c r="G22" s="45">
        <v>45.205248910171981</v>
      </c>
      <c r="H22" s="45">
        <v>43.584119889838846</v>
      </c>
      <c r="I22" s="45">
        <v>44.001479565451724</v>
      </c>
      <c r="J22" s="45">
        <v>44.936277047003415</v>
      </c>
      <c r="K22" s="45">
        <v>44.907521949495589</v>
      </c>
      <c r="L22" s="45">
        <v>47.554286623169595</v>
      </c>
      <c r="M22" s="45">
        <v>44.666434210977606</v>
      </c>
      <c r="P22" s="8">
        <v>2000</v>
      </c>
      <c r="Q22" s="49">
        <v>95.957457838387327</v>
      </c>
      <c r="R22" s="49">
        <v>97.694933304831252</v>
      </c>
      <c r="S22" s="49">
        <v>95.646343720264923</v>
      </c>
      <c r="T22" s="49">
        <v>96.366256223045212</v>
      </c>
      <c r="U22" s="49">
        <v>95.678382470092203</v>
      </c>
      <c r="V22" s="49">
        <v>96.133978063078757</v>
      </c>
      <c r="W22" s="49">
        <v>95.061615784084822</v>
      </c>
      <c r="X22" s="49">
        <v>94.851422702564918</v>
      </c>
      <c r="Y22" s="49">
        <v>96.66308756308122</v>
      </c>
      <c r="Z22" s="49">
        <v>95.649005466037323</v>
      </c>
    </row>
    <row r="23" spans="1:30" x14ac:dyDescent="0.2">
      <c r="A23" s="4">
        <v>26.319398473236124</v>
      </c>
      <c r="C23" s="3">
        <v>2500</v>
      </c>
      <c r="D23" s="45">
        <v>49.059383051477006</v>
      </c>
      <c r="E23" s="45">
        <v>50.281841572897264</v>
      </c>
      <c r="F23" s="45">
        <v>49.654654102706544</v>
      </c>
      <c r="G23" s="45">
        <v>52.159843234677496</v>
      </c>
      <c r="H23" s="45">
        <v>50.216990208968021</v>
      </c>
      <c r="I23" s="45">
        <v>50.165487423700547</v>
      </c>
      <c r="J23" s="45">
        <v>50.443251760199381</v>
      </c>
      <c r="K23" s="45">
        <v>50.979661086627416</v>
      </c>
      <c r="L23" s="45">
        <v>54.910796344069624</v>
      </c>
      <c r="M23" s="45">
        <v>50.652511918566169</v>
      </c>
      <c r="P23" s="8">
        <v>2500</v>
      </c>
      <c r="Q23" s="50">
        <v>99.048854732878823</v>
      </c>
      <c r="R23" s="50">
        <v>98.007521442163764</v>
      </c>
      <c r="S23" s="50">
        <v>95.985205567913297</v>
      </c>
      <c r="T23" s="50">
        <v>96.452622398297066</v>
      </c>
      <c r="U23" s="50">
        <v>98.219781200203613</v>
      </c>
      <c r="V23" s="50">
        <v>97.504595628098983</v>
      </c>
      <c r="W23" s="50">
        <v>98.180902540793511</v>
      </c>
      <c r="X23" s="50">
        <v>97.456233334043674</v>
      </c>
      <c r="Y23" s="50">
        <v>97.115761366757482</v>
      </c>
      <c r="Z23" s="50">
        <v>97.15032935074592</v>
      </c>
    </row>
    <row r="24" spans="1:30" x14ac:dyDescent="0.2">
      <c r="A24" s="4">
        <v>27.18455760593687</v>
      </c>
      <c r="C24" s="3">
        <v>3150</v>
      </c>
      <c r="D24" s="45">
        <v>50.546755834224108</v>
      </c>
      <c r="E24" s="45">
        <v>50.881627078330482</v>
      </c>
      <c r="F24" s="45">
        <v>51.418110637864423</v>
      </c>
      <c r="G24" s="45">
        <v>53.440845058523081</v>
      </c>
      <c r="H24" s="45">
        <v>51.492911500337591</v>
      </c>
      <c r="I24" s="45">
        <v>52.287878101913506</v>
      </c>
      <c r="J24" s="45">
        <v>51.826432428907673</v>
      </c>
      <c r="K24" s="45">
        <v>52.709049129486083</v>
      </c>
      <c r="L24" s="45">
        <v>56.83136947416164</v>
      </c>
      <c r="M24" s="45">
        <v>52.792205557146879</v>
      </c>
      <c r="P24" s="8">
        <v>3150</v>
      </c>
      <c r="Q24" s="49">
        <v>96.860880380389332</v>
      </c>
      <c r="R24" s="49">
        <v>94.20323471354547</v>
      </c>
      <c r="S24" s="49">
        <v>93.809285257163779</v>
      </c>
      <c r="T24" s="49">
        <v>94.373046882217977</v>
      </c>
      <c r="U24" s="49">
        <v>94.765549267993094</v>
      </c>
      <c r="V24" s="49">
        <v>95.425948120233784</v>
      </c>
      <c r="W24" s="49">
        <v>95.122336645811302</v>
      </c>
      <c r="X24" s="49">
        <v>95.508918393042777</v>
      </c>
      <c r="Y24" s="49">
        <v>95.129673126972079</v>
      </c>
      <c r="Z24" s="49">
        <v>94.788030647937163</v>
      </c>
    </row>
    <row r="25" spans="1:30" x14ac:dyDescent="0.2">
      <c r="A25" s="4">
        <v>28.086701907789134</v>
      </c>
      <c r="C25" s="3">
        <v>4000</v>
      </c>
      <c r="D25" s="45">
        <v>45.706104572281639</v>
      </c>
      <c r="E25" s="45">
        <v>46.701625741280893</v>
      </c>
      <c r="F25" s="45">
        <v>47.668245143146315</v>
      </c>
      <c r="G25" s="45">
        <v>48.498892740486497</v>
      </c>
      <c r="H25" s="45">
        <v>46.489667901582123</v>
      </c>
      <c r="I25" s="45">
        <v>46.419317992585661</v>
      </c>
      <c r="J25" s="45">
        <v>46.843600155770396</v>
      </c>
      <c r="K25" s="45">
        <v>46.99254101344517</v>
      </c>
      <c r="L25" s="45">
        <v>50.433200468865387</v>
      </c>
      <c r="M25" s="45">
        <v>47.394746249625243</v>
      </c>
      <c r="P25" s="8">
        <v>4000</v>
      </c>
      <c r="Q25" s="50">
        <v>91.971994210020341</v>
      </c>
      <c r="R25" s="50">
        <v>92.351475524902341</v>
      </c>
      <c r="S25" s="50">
        <v>91.155452289925449</v>
      </c>
      <c r="T25" s="50">
        <v>90.821057019193105</v>
      </c>
      <c r="U25" s="50">
        <v>91.879182521974968</v>
      </c>
      <c r="V25" s="50">
        <v>91.955886279728261</v>
      </c>
      <c r="W25" s="50">
        <v>91.331000073399551</v>
      </c>
      <c r="X25" s="50">
        <v>91.640230884588192</v>
      </c>
      <c r="Y25" s="50">
        <v>90.837846770431057</v>
      </c>
      <c r="Z25" s="50">
        <v>91.12201882676635</v>
      </c>
    </row>
    <row r="26" spans="1:30" x14ac:dyDescent="0.2">
      <c r="A26" s="4">
        <v>28.979656410465314</v>
      </c>
      <c r="C26" s="3">
        <v>5000</v>
      </c>
      <c r="D26" s="45">
        <v>39.433986674696776</v>
      </c>
      <c r="E26" s="45">
        <v>39.359349911444376</v>
      </c>
      <c r="F26" s="45">
        <v>41.13127312991417</v>
      </c>
      <c r="G26" s="45">
        <v>42.326355885168198</v>
      </c>
      <c r="H26" s="45">
        <v>40.598329779519986</v>
      </c>
      <c r="I26" s="45">
        <v>39.484888238597001</v>
      </c>
      <c r="J26" s="45">
        <v>40.445147153564008</v>
      </c>
      <c r="K26" s="45">
        <v>40.462085665975302</v>
      </c>
      <c r="L26" s="45">
        <v>43.341050586093864</v>
      </c>
      <c r="M26" s="45">
        <v>40.499934133122167</v>
      </c>
      <c r="P26" s="8">
        <v>5000</v>
      </c>
      <c r="Q26" s="49">
        <v>91.159158618970849</v>
      </c>
      <c r="R26" s="49">
        <v>91.104362502053519</v>
      </c>
      <c r="S26" s="49">
        <v>89.752504542569042</v>
      </c>
      <c r="T26" s="49">
        <v>89.240836577474113</v>
      </c>
      <c r="U26" s="49">
        <v>90.59310109802189</v>
      </c>
      <c r="V26" s="49">
        <v>90.395335010721666</v>
      </c>
      <c r="W26" s="49">
        <v>89.829419903553216</v>
      </c>
      <c r="X26" s="49">
        <v>90.073205205928218</v>
      </c>
      <c r="Y26" s="49">
        <v>89.708046934821382</v>
      </c>
      <c r="Z26" s="49">
        <v>90.668482788607605</v>
      </c>
    </row>
    <row r="29" spans="1:30" x14ac:dyDescent="0.2">
      <c r="K29" s="20"/>
      <c r="L29" s="20"/>
      <c r="M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x14ac:dyDescent="0.2">
      <c r="C30" s="146" t="s">
        <v>36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P30" s="146" t="s">
        <v>36</v>
      </c>
      <c r="Q30" s="146"/>
      <c r="R30" s="146"/>
      <c r="S30" s="146"/>
      <c r="T30" s="146"/>
      <c r="U30" s="146"/>
      <c r="V30" s="146"/>
    </row>
    <row r="31" spans="1:30" x14ac:dyDescent="0.2">
      <c r="C31" s="1" t="s">
        <v>40</v>
      </c>
      <c r="D31" s="147" t="s">
        <v>107</v>
      </c>
      <c r="E31" s="147"/>
      <c r="F31" s="147"/>
      <c r="G31" s="147"/>
      <c r="H31" s="147"/>
      <c r="I31" s="148" t="s">
        <v>108</v>
      </c>
      <c r="J31" s="148"/>
      <c r="K31" s="148"/>
      <c r="L31" s="148"/>
      <c r="M31" s="148"/>
      <c r="P31" s="1" t="s">
        <v>41</v>
      </c>
      <c r="Q31" s="147" t="s">
        <v>107</v>
      </c>
      <c r="R31" s="147"/>
      <c r="S31" s="147"/>
      <c r="T31" s="148" t="s">
        <v>108</v>
      </c>
      <c r="U31" s="148"/>
      <c r="V31" s="148"/>
    </row>
    <row r="32" spans="1:30" x14ac:dyDescent="0.2">
      <c r="C32" s="1" t="s">
        <v>20</v>
      </c>
      <c r="D32" s="7" t="s">
        <v>21</v>
      </c>
      <c r="E32" s="1" t="s">
        <v>22</v>
      </c>
      <c r="F32" s="7" t="s">
        <v>29</v>
      </c>
      <c r="G32" s="7" t="s">
        <v>30</v>
      </c>
      <c r="H32" s="1" t="s">
        <v>31</v>
      </c>
      <c r="I32" s="1" t="s">
        <v>23</v>
      </c>
      <c r="J32" s="7" t="s">
        <v>24</v>
      </c>
      <c r="K32" s="1" t="s">
        <v>32</v>
      </c>
      <c r="L32" s="1" t="s">
        <v>34</v>
      </c>
      <c r="M32" s="1" t="s">
        <v>33</v>
      </c>
      <c r="P32" s="1" t="s">
        <v>20</v>
      </c>
      <c r="Q32" s="7" t="s">
        <v>21</v>
      </c>
      <c r="R32" s="1" t="s">
        <v>22</v>
      </c>
      <c r="S32" s="7" t="s">
        <v>29</v>
      </c>
      <c r="T32" s="1" t="s">
        <v>23</v>
      </c>
      <c r="U32" s="7" t="s">
        <v>24</v>
      </c>
      <c r="V32" s="1" t="s">
        <v>32</v>
      </c>
    </row>
    <row r="33" spans="3:22" x14ac:dyDescent="0.2">
      <c r="C33" s="8">
        <v>50</v>
      </c>
      <c r="D33" s="49">
        <v>70.39108672899539</v>
      </c>
      <c r="E33" s="49">
        <v>64.764941186091434</v>
      </c>
      <c r="F33" s="49">
        <v>74.159870448214136</v>
      </c>
      <c r="G33" s="49">
        <v>75.28042299097234</v>
      </c>
      <c r="H33" s="49">
        <v>72.580992649035821</v>
      </c>
      <c r="I33" s="49">
        <v>69.577585923807703</v>
      </c>
      <c r="J33" s="49">
        <v>57.868792752839582</v>
      </c>
      <c r="K33" s="49">
        <v>73.089658779404971</v>
      </c>
      <c r="L33" s="49">
        <v>74.370988504318959</v>
      </c>
      <c r="M33" s="49">
        <v>67.560379395471159</v>
      </c>
      <c r="P33" s="8">
        <v>50</v>
      </c>
      <c r="Q33" s="49">
        <v>79.092959419272063</v>
      </c>
      <c r="R33" s="49">
        <v>83.149811142413782</v>
      </c>
      <c r="S33" s="49">
        <v>81.633491182549051</v>
      </c>
      <c r="T33" s="49">
        <v>79.900993727932573</v>
      </c>
      <c r="U33" s="49">
        <v>81.965184522498774</v>
      </c>
      <c r="V33" s="49">
        <v>92.604641453701902</v>
      </c>
    </row>
    <row r="34" spans="3:22" x14ac:dyDescent="0.2">
      <c r="C34" s="8">
        <v>63</v>
      </c>
      <c r="D34" s="50">
        <v>63.485987478489172</v>
      </c>
      <c r="E34" s="50">
        <v>73.007383903877269</v>
      </c>
      <c r="F34" s="50">
        <v>75.655858737213734</v>
      </c>
      <c r="G34" s="50">
        <v>65.049472075520143</v>
      </c>
      <c r="H34" s="50">
        <v>71.905257505111976</v>
      </c>
      <c r="I34" s="50">
        <v>57.506203658680498</v>
      </c>
      <c r="J34" s="50">
        <v>64.390547584084899</v>
      </c>
      <c r="K34" s="50">
        <v>69.440966979716123</v>
      </c>
      <c r="L34" s="50">
        <v>57.751129600888206</v>
      </c>
      <c r="M34" s="50">
        <v>65.381736035755438</v>
      </c>
      <c r="P34" s="8">
        <v>63</v>
      </c>
      <c r="Q34" s="50">
        <v>90.959914449247748</v>
      </c>
      <c r="R34" s="50">
        <v>92.806925250746914</v>
      </c>
      <c r="S34" s="50">
        <v>95.483160812023073</v>
      </c>
      <c r="T34" s="50">
        <v>90.751772776549046</v>
      </c>
      <c r="U34" s="50">
        <v>91.98087587187382</v>
      </c>
      <c r="V34" s="50">
        <v>101.32113295711584</v>
      </c>
    </row>
    <row r="35" spans="3:22" x14ac:dyDescent="0.2">
      <c r="C35" s="8">
        <v>80</v>
      </c>
      <c r="D35" s="49">
        <v>77.672800440652537</v>
      </c>
      <c r="E35" s="49">
        <v>87.977681417863295</v>
      </c>
      <c r="F35" s="49">
        <v>85.680130803883358</v>
      </c>
      <c r="G35" s="49">
        <v>86.466065363450483</v>
      </c>
      <c r="H35" s="49">
        <v>77.840966341663915</v>
      </c>
      <c r="I35" s="49">
        <v>71.877005167333792</v>
      </c>
      <c r="J35" s="49">
        <v>78.684240721208553</v>
      </c>
      <c r="K35" s="49">
        <v>77.007555420979273</v>
      </c>
      <c r="L35" s="49">
        <v>78.704069700695214</v>
      </c>
      <c r="M35" s="49">
        <v>75.002937103947048</v>
      </c>
      <c r="P35" s="8">
        <v>80</v>
      </c>
      <c r="Q35" s="49">
        <v>90.296081686783921</v>
      </c>
      <c r="R35" s="49">
        <v>96.839037561543336</v>
      </c>
      <c r="S35" s="49">
        <v>97.638842056629272</v>
      </c>
      <c r="T35" s="49">
        <v>90.303572578923763</v>
      </c>
      <c r="U35" s="49">
        <v>93.150044153607084</v>
      </c>
      <c r="V35" s="49">
        <v>96.303251586410568</v>
      </c>
    </row>
    <row r="36" spans="3:22" x14ac:dyDescent="0.2">
      <c r="C36" s="8">
        <v>100</v>
      </c>
      <c r="D36" s="50">
        <v>76.392002109215824</v>
      </c>
      <c r="E36" s="50">
        <v>80.952213384278679</v>
      </c>
      <c r="F36" s="50">
        <v>74.351525010611851</v>
      </c>
      <c r="G36" s="50">
        <v>78.666765364733607</v>
      </c>
      <c r="H36" s="50">
        <v>79.538320718644727</v>
      </c>
      <c r="I36" s="50">
        <v>71.512278400899788</v>
      </c>
      <c r="J36" s="50">
        <v>77.412630866555602</v>
      </c>
      <c r="K36" s="50">
        <v>73.025628076136627</v>
      </c>
      <c r="L36" s="50">
        <v>76.215222654796776</v>
      </c>
      <c r="M36" s="50">
        <v>74.913360867394744</v>
      </c>
      <c r="P36" s="8">
        <v>100</v>
      </c>
      <c r="Q36" s="50">
        <v>95.626225851707929</v>
      </c>
      <c r="R36" s="50">
        <v>92.418117614421732</v>
      </c>
      <c r="S36" s="50">
        <v>95.220653792980102</v>
      </c>
      <c r="T36" s="50">
        <v>95.904093292856828</v>
      </c>
      <c r="U36" s="50">
        <v>97.030537552748967</v>
      </c>
      <c r="V36" s="50">
        <v>96.227653195724699</v>
      </c>
    </row>
    <row r="37" spans="3:22" x14ac:dyDescent="0.2">
      <c r="C37" s="8">
        <v>125</v>
      </c>
      <c r="D37" s="49">
        <v>77.123796601378672</v>
      </c>
      <c r="E37" s="49">
        <v>80.268332798121847</v>
      </c>
      <c r="F37" s="49">
        <v>72.638684729716644</v>
      </c>
      <c r="G37" s="49">
        <v>79.750114657662138</v>
      </c>
      <c r="H37" s="49">
        <v>81.348044994595327</v>
      </c>
      <c r="I37" s="49">
        <v>71.386758187877817</v>
      </c>
      <c r="J37" s="49">
        <v>75.338724263026549</v>
      </c>
      <c r="K37" s="49">
        <v>71.852697040165012</v>
      </c>
      <c r="L37" s="49">
        <v>74.02930512201219</v>
      </c>
      <c r="M37" s="49">
        <v>75.702756975337337</v>
      </c>
      <c r="P37" s="8">
        <v>125</v>
      </c>
      <c r="Q37" s="49">
        <v>97.725192430444082</v>
      </c>
      <c r="R37" s="49">
        <v>95.01175365329739</v>
      </c>
      <c r="S37" s="49">
        <v>90.245159244980925</v>
      </c>
      <c r="T37" s="49">
        <v>97.450266628300639</v>
      </c>
      <c r="U37" s="49">
        <v>96.054317855478786</v>
      </c>
      <c r="V37" s="49">
        <v>97.810782777836948</v>
      </c>
    </row>
    <row r="38" spans="3:22" x14ac:dyDescent="0.2">
      <c r="C38" s="8">
        <v>160</v>
      </c>
      <c r="D38" s="50">
        <v>79.97998269661727</v>
      </c>
      <c r="E38" s="50">
        <v>78.615469418506663</v>
      </c>
      <c r="F38" s="50">
        <v>76.235560136994792</v>
      </c>
      <c r="G38" s="50">
        <v>79.878743626854643</v>
      </c>
      <c r="H38" s="50">
        <v>80.031559252827577</v>
      </c>
      <c r="I38" s="50">
        <v>87.156858001825015</v>
      </c>
      <c r="J38" s="50">
        <v>86.709399641351865</v>
      </c>
      <c r="K38" s="50">
        <v>86.492400418117256</v>
      </c>
      <c r="L38" s="50">
        <v>90.298661295572913</v>
      </c>
      <c r="M38" s="50">
        <v>89.352867478929653</v>
      </c>
      <c r="P38" s="8">
        <v>160</v>
      </c>
      <c r="Q38" s="50">
        <v>101.76591545629906</v>
      </c>
      <c r="R38" s="50">
        <v>99.449095443036299</v>
      </c>
      <c r="S38" s="50">
        <v>100.82647485067677</v>
      </c>
      <c r="T38" s="50">
        <v>102.65279194519833</v>
      </c>
      <c r="U38" s="50">
        <v>107.55359195171395</v>
      </c>
      <c r="V38" s="50">
        <v>108.78699938864145</v>
      </c>
    </row>
    <row r="39" spans="3:22" x14ac:dyDescent="0.2">
      <c r="C39" s="8">
        <v>200</v>
      </c>
      <c r="D39" s="49">
        <v>85.345071867915664</v>
      </c>
      <c r="E39" s="49">
        <v>77.21757397244933</v>
      </c>
      <c r="F39" s="49">
        <v>81.063177064572145</v>
      </c>
      <c r="G39" s="49">
        <v>84.1359903234424</v>
      </c>
      <c r="H39" s="49">
        <v>85.638231802163958</v>
      </c>
      <c r="I39" s="49">
        <v>89.502060523957809</v>
      </c>
      <c r="J39" s="49">
        <v>87.979554728267317</v>
      </c>
      <c r="K39" s="49">
        <v>90.688100636751173</v>
      </c>
      <c r="L39" s="49">
        <v>89.723884357270734</v>
      </c>
      <c r="M39" s="49">
        <v>88.395363911398334</v>
      </c>
      <c r="P39" s="8">
        <v>200</v>
      </c>
      <c r="Q39" s="49">
        <v>101.65376197606409</v>
      </c>
      <c r="R39" s="49">
        <v>98.88095782730197</v>
      </c>
      <c r="S39" s="49">
        <v>95.088804903252182</v>
      </c>
      <c r="T39" s="49">
        <v>102.36722708541673</v>
      </c>
      <c r="U39" s="49">
        <v>104.6689437025624</v>
      </c>
      <c r="V39" s="49">
        <v>102.4353287694216</v>
      </c>
    </row>
    <row r="40" spans="3:22" x14ac:dyDescent="0.2">
      <c r="C40" s="8">
        <v>250</v>
      </c>
      <c r="D40" s="50">
        <v>81.906055776212497</v>
      </c>
      <c r="E40" s="50">
        <v>77.906141699983081</v>
      </c>
      <c r="F40" s="50">
        <v>77.340262892955536</v>
      </c>
      <c r="G40" s="50">
        <v>82.88055621493946</v>
      </c>
      <c r="H40" s="50">
        <v>81.41171588684989</v>
      </c>
      <c r="I40" s="50">
        <v>89.336040388042036</v>
      </c>
      <c r="J40" s="50">
        <v>89.135719212454234</v>
      </c>
      <c r="K40" s="50">
        <v>93.724913148265031</v>
      </c>
      <c r="L40" s="50">
        <v>95.050279170445037</v>
      </c>
      <c r="M40" s="50">
        <v>93.726895535187268</v>
      </c>
      <c r="P40" s="8">
        <v>250</v>
      </c>
      <c r="Q40" s="50">
        <v>99.048583711126184</v>
      </c>
      <c r="R40" s="50">
        <v>100.3262115965067</v>
      </c>
      <c r="S40" s="50">
        <v>99.465888487350114</v>
      </c>
      <c r="T40" s="50">
        <v>97.766923287439255</v>
      </c>
      <c r="U40" s="50">
        <v>105.98435236826664</v>
      </c>
      <c r="V40" s="50">
        <v>102.79811585703429</v>
      </c>
    </row>
    <row r="41" spans="3:22" x14ac:dyDescent="0.2">
      <c r="C41" s="8">
        <v>315</v>
      </c>
      <c r="D41" s="49">
        <v>83.82522208894251</v>
      </c>
      <c r="E41" s="49">
        <v>82.807474783674124</v>
      </c>
      <c r="F41" s="49">
        <v>77.354698273072756</v>
      </c>
      <c r="G41" s="49">
        <v>83.065765482006654</v>
      </c>
      <c r="H41" s="49">
        <v>81.287866833484742</v>
      </c>
      <c r="I41" s="49">
        <v>86.697974244904614</v>
      </c>
      <c r="J41" s="49">
        <v>88.715708680125744</v>
      </c>
      <c r="K41" s="49">
        <v>86.326230442902585</v>
      </c>
      <c r="L41" s="49">
        <v>86.371459575834734</v>
      </c>
      <c r="M41" s="49">
        <v>89.340914134226594</v>
      </c>
      <c r="P41" s="8">
        <v>315</v>
      </c>
      <c r="Q41" s="49">
        <v>105.55935978147919</v>
      </c>
      <c r="R41" s="49">
        <v>104.27215514001432</v>
      </c>
      <c r="S41" s="49">
        <v>102.914374744504</v>
      </c>
      <c r="T41" s="49">
        <v>103.87255272010337</v>
      </c>
      <c r="U41" s="49">
        <v>106.65615379554328</v>
      </c>
      <c r="V41" s="49">
        <v>103.0522753945411</v>
      </c>
    </row>
    <row r="42" spans="3:22" x14ac:dyDescent="0.2">
      <c r="C42" s="8">
        <v>400</v>
      </c>
      <c r="D42" s="50">
        <v>78.828243896652509</v>
      </c>
      <c r="E42" s="50">
        <v>77.616670487364061</v>
      </c>
      <c r="F42" s="50">
        <v>75.890918006932324</v>
      </c>
      <c r="G42" s="50">
        <v>77.199660893642545</v>
      </c>
      <c r="H42" s="50">
        <v>78.533883814474905</v>
      </c>
      <c r="I42" s="50">
        <v>84.015156314400215</v>
      </c>
      <c r="J42" s="50">
        <v>85.163059487967161</v>
      </c>
      <c r="K42" s="50">
        <v>84.153329572044271</v>
      </c>
      <c r="L42" s="50">
        <v>86.964862242199132</v>
      </c>
      <c r="M42" s="50">
        <v>87.122142670588275</v>
      </c>
      <c r="P42" s="8">
        <v>400</v>
      </c>
      <c r="Q42" s="50">
        <v>104.3433969912947</v>
      </c>
      <c r="R42" s="50">
        <v>101.84346614462596</v>
      </c>
      <c r="S42" s="50">
        <v>100.14294003508812</v>
      </c>
      <c r="T42" s="50">
        <v>104.54250662163754</v>
      </c>
      <c r="U42" s="50">
        <v>107.99291822645399</v>
      </c>
      <c r="V42" s="50">
        <v>107.01439321292419</v>
      </c>
    </row>
    <row r="43" spans="3:22" x14ac:dyDescent="0.2">
      <c r="C43" s="8">
        <v>500</v>
      </c>
      <c r="D43" s="49">
        <v>76.178244381458853</v>
      </c>
      <c r="E43" s="49">
        <v>74.967125776675132</v>
      </c>
      <c r="F43" s="49">
        <v>75.658110200530189</v>
      </c>
      <c r="G43" s="49">
        <v>77.409443501270175</v>
      </c>
      <c r="H43" s="49">
        <v>76.456645845037414</v>
      </c>
      <c r="I43" s="49">
        <v>79.713752050363524</v>
      </c>
      <c r="J43" s="49">
        <v>79.778202281278723</v>
      </c>
      <c r="K43" s="49">
        <v>81.37723579443454</v>
      </c>
      <c r="L43" s="49">
        <v>84.667244349888392</v>
      </c>
      <c r="M43" s="49">
        <v>81.62980966870893</v>
      </c>
      <c r="P43" s="8">
        <v>500</v>
      </c>
      <c r="Q43" s="49">
        <v>101.55576492726634</v>
      </c>
      <c r="R43" s="49">
        <v>99.9477285312487</v>
      </c>
      <c r="S43" s="49">
        <v>100.54387461107831</v>
      </c>
      <c r="T43" s="49">
        <v>101.1692827334025</v>
      </c>
      <c r="U43" s="49">
        <v>106.87829577733599</v>
      </c>
      <c r="V43" s="49">
        <v>105.67336101164848</v>
      </c>
    </row>
    <row r="44" spans="3:22" x14ac:dyDescent="0.2">
      <c r="C44" s="8">
        <v>630</v>
      </c>
      <c r="D44" s="50">
        <v>72.916478411882053</v>
      </c>
      <c r="E44" s="50">
        <v>73.914128242949602</v>
      </c>
      <c r="F44" s="50">
        <v>74.41388149455922</v>
      </c>
      <c r="G44" s="50">
        <v>75.452490878827646</v>
      </c>
      <c r="H44" s="50">
        <v>76.177490482543035</v>
      </c>
      <c r="I44" s="50">
        <v>79.222846136346973</v>
      </c>
      <c r="J44" s="50">
        <v>80.186580296033242</v>
      </c>
      <c r="K44" s="50">
        <v>79.1320830373608</v>
      </c>
      <c r="L44" s="50">
        <v>81.481990240187869</v>
      </c>
      <c r="M44" s="50">
        <v>78.650361649455419</v>
      </c>
      <c r="P44" s="8">
        <v>630</v>
      </c>
      <c r="Q44" s="50">
        <v>103.56635738160675</v>
      </c>
      <c r="R44" s="50">
        <v>101.06965831151781</v>
      </c>
      <c r="S44" s="50">
        <v>102.76069053472474</v>
      </c>
      <c r="T44" s="50">
        <v>102.65169580145816</v>
      </c>
      <c r="U44" s="50">
        <v>106.83260695940974</v>
      </c>
      <c r="V44" s="50">
        <v>103.81402809569641</v>
      </c>
    </row>
    <row r="45" spans="3:22" x14ac:dyDescent="0.2">
      <c r="C45" s="8">
        <v>800</v>
      </c>
      <c r="D45" s="49">
        <v>73.362840797837663</v>
      </c>
      <c r="E45" s="49">
        <v>72.836248110513296</v>
      </c>
      <c r="F45" s="49">
        <v>72.79275531079395</v>
      </c>
      <c r="G45" s="49">
        <v>76.066355791958898</v>
      </c>
      <c r="H45" s="49">
        <v>75.030072151949852</v>
      </c>
      <c r="I45" s="49">
        <v>76.649410276811835</v>
      </c>
      <c r="J45" s="49">
        <v>78.713848939204354</v>
      </c>
      <c r="K45" s="49">
        <v>77.955278369070129</v>
      </c>
      <c r="L45" s="49">
        <v>80.868830428350535</v>
      </c>
      <c r="M45" s="49">
        <v>78.812053331626615</v>
      </c>
      <c r="P45" s="8">
        <v>800</v>
      </c>
      <c r="Q45" s="49">
        <v>101.88191874627231</v>
      </c>
      <c r="R45" s="49">
        <v>99.413455290747919</v>
      </c>
      <c r="S45" s="49">
        <v>99.965429133925326</v>
      </c>
      <c r="T45" s="49">
        <v>100.92938680877968</v>
      </c>
      <c r="U45" s="49">
        <v>105.72429737479301</v>
      </c>
      <c r="V45" s="49">
        <v>102.75530668795382</v>
      </c>
    </row>
    <row r="46" spans="3:22" x14ac:dyDescent="0.2">
      <c r="C46" s="8">
        <v>1000</v>
      </c>
      <c r="D46" s="50">
        <v>71.398210860043079</v>
      </c>
      <c r="E46" s="50">
        <v>72.547933180405749</v>
      </c>
      <c r="F46" s="50">
        <v>70.019335311027007</v>
      </c>
      <c r="G46" s="50">
        <v>74.155673503875732</v>
      </c>
      <c r="H46" s="50">
        <v>73.366796592797485</v>
      </c>
      <c r="I46" s="50">
        <v>75.589278391558864</v>
      </c>
      <c r="J46" s="50">
        <v>76.468249174403965</v>
      </c>
      <c r="K46" s="50">
        <v>75.717461586916414</v>
      </c>
      <c r="L46" s="50">
        <v>80.603040357317241</v>
      </c>
      <c r="M46" s="50">
        <v>77.804743703451152</v>
      </c>
      <c r="P46" s="8">
        <v>1000</v>
      </c>
      <c r="Q46" s="50">
        <v>99.136452073538564</v>
      </c>
      <c r="R46" s="50">
        <v>98.782299801984436</v>
      </c>
      <c r="S46" s="50">
        <v>96.37643038017805</v>
      </c>
      <c r="T46" s="50">
        <v>100.05770101212309</v>
      </c>
      <c r="U46" s="50">
        <v>102.68630759188441</v>
      </c>
      <c r="V46" s="50">
        <v>99.916842571646654</v>
      </c>
    </row>
    <row r="47" spans="3:22" x14ac:dyDescent="0.2">
      <c r="C47" s="8">
        <v>1250</v>
      </c>
      <c r="D47" s="49">
        <v>70.593796715154028</v>
      </c>
      <c r="E47" s="49">
        <v>70.63135176172274</v>
      </c>
      <c r="F47" s="49">
        <v>68.546001190383535</v>
      </c>
      <c r="G47" s="49">
        <v>72.982823357437596</v>
      </c>
      <c r="H47" s="49">
        <v>70.402580332135628</v>
      </c>
      <c r="I47" s="49">
        <v>74.598128670522016</v>
      </c>
      <c r="J47" s="49">
        <v>75.92319040461328</v>
      </c>
      <c r="K47" s="49">
        <v>74.65327649671832</v>
      </c>
      <c r="L47" s="49">
        <v>77.346406373523536</v>
      </c>
      <c r="M47" s="49">
        <v>75.380782001631204</v>
      </c>
      <c r="P47" s="8">
        <v>1250</v>
      </c>
      <c r="Q47" s="49">
        <v>97.224674185304352</v>
      </c>
      <c r="R47" s="49">
        <v>98.254852071919203</v>
      </c>
      <c r="S47" s="49">
        <v>96.801504204328666</v>
      </c>
      <c r="T47" s="49">
        <v>97.272234728067502</v>
      </c>
      <c r="U47" s="49">
        <v>101.71926413285854</v>
      </c>
      <c r="V47" s="49">
        <v>99.161635562326794</v>
      </c>
    </row>
    <row r="48" spans="3:22" x14ac:dyDescent="0.2">
      <c r="C48" s="8">
        <v>1600</v>
      </c>
      <c r="D48" s="50">
        <v>68.913077502430198</v>
      </c>
      <c r="E48" s="50">
        <v>69.936030393070837</v>
      </c>
      <c r="F48" s="50">
        <v>67.845776039102319</v>
      </c>
      <c r="G48" s="50">
        <v>71.962110685579702</v>
      </c>
      <c r="H48" s="50">
        <v>69.289933257829745</v>
      </c>
      <c r="I48" s="50">
        <v>73.848110148208676</v>
      </c>
      <c r="J48" s="50">
        <v>73.904786061064343</v>
      </c>
      <c r="K48" s="50">
        <v>74.041422597024166</v>
      </c>
      <c r="L48" s="50">
        <v>75.115850713820691</v>
      </c>
      <c r="M48" s="50">
        <v>74.746708066791612</v>
      </c>
      <c r="P48" s="8">
        <v>1600</v>
      </c>
      <c r="Q48" s="50">
        <v>94.834712482420031</v>
      </c>
      <c r="R48" s="50">
        <v>94.109800333676873</v>
      </c>
      <c r="S48" s="50">
        <v>94.514946303256721</v>
      </c>
      <c r="T48" s="50">
        <v>95.909856306206493</v>
      </c>
      <c r="U48" s="50">
        <v>99.403028272669744</v>
      </c>
      <c r="V48" s="50">
        <v>99.624926573196532</v>
      </c>
    </row>
    <row r="49" spans="3:22" x14ac:dyDescent="0.2">
      <c r="C49" s="8">
        <v>2000</v>
      </c>
      <c r="D49" s="49">
        <v>69.598085198520636</v>
      </c>
      <c r="E49" s="49">
        <v>69.145805289654461</v>
      </c>
      <c r="F49" s="49">
        <v>68.521355064187034</v>
      </c>
      <c r="G49" s="49">
        <v>72.699332056623518</v>
      </c>
      <c r="H49" s="49">
        <v>69.642013103102215</v>
      </c>
      <c r="I49" s="49">
        <v>74.415051877271992</v>
      </c>
      <c r="J49" s="49">
        <v>74.406046807652857</v>
      </c>
      <c r="K49" s="49">
        <v>74.248713694362252</v>
      </c>
      <c r="L49" s="49">
        <v>76.215660102480939</v>
      </c>
      <c r="M49" s="49">
        <v>73.791964768675001</v>
      </c>
      <c r="P49" s="8">
        <v>2000</v>
      </c>
      <c r="Q49" s="49">
        <v>94.965967996293486</v>
      </c>
      <c r="R49" s="49">
        <v>94.762245536378472</v>
      </c>
      <c r="S49" s="49">
        <v>94.464729536189594</v>
      </c>
      <c r="T49" s="49">
        <v>95.741189727501151</v>
      </c>
      <c r="U49" s="49">
        <v>99.848200009984467</v>
      </c>
      <c r="V49" s="49">
        <v>96.62522156712771</v>
      </c>
    </row>
    <row r="50" spans="3:22" x14ac:dyDescent="0.2">
      <c r="C50" s="8">
        <v>2500</v>
      </c>
      <c r="D50" s="50">
        <v>72.60540962744679</v>
      </c>
      <c r="E50" s="50">
        <v>73.482333707722901</v>
      </c>
      <c r="F50" s="50">
        <v>72.446233952675186</v>
      </c>
      <c r="G50" s="50">
        <v>77.665007533449113</v>
      </c>
      <c r="H50" s="50">
        <v>73.97921477817691</v>
      </c>
      <c r="I50" s="50">
        <v>77.470998684263051</v>
      </c>
      <c r="J50" s="50">
        <v>78.197784669937633</v>
      </c>
      <c r="K50" s="50">
        <v>77.958643945394741</v>
      </c>
      <c r="L50" s="50">
        <v>79.312020241873611</v>
      </c>
      <c r="M50" s="50">
        <v>78.015939846534465</v>
      </c>
      <c r="P50" s="8">
        <v>2500</v>
      </c>
      <c r="Q50" s="50">
        <v>96.920709924581033</v>
      </c>
      <c r="R50" s="50">
        <v>96.504280090332031</v>
      </c>
      <c r="S50" s="50">
        <v>96.314389648437498</v>
      </c>
      <c r="T50" s="50">
        <v>97.505512399726342</v>
      </c>
      <c r="U50" s="50">
        <v>100.65860672068307</v>
      </c>
      <c r="V50" s="50">
        <v>99.51778295081651</v>
      </c>
    </row>
    <row r="51" spans="3:22" x14ac:dyDescent="0.2">
      <c r="C51" s="8">
        <v>3150</v>
      </c>
      <c r="D51" s="49">
        <v>73.181693701485742</v>
      </c>
      <c r="E51" s="49">
        <v>72.90505953752411</v>
      </c>
      <c r="F51" s="49">
        <v>72.54752230356975</v>
      </c>
      <c r="G51" s="49">
        <v>77.595446637182519</v>
      </c>
      <c r="H51" s="49">
        <v>73.862869808664996</v>
      </c>
      <c r="I51" s="49">
        <v>77.823327604808739</v>
      </c>
      <c r="J51" s="49">
        <v>77.604501148781239</v>
      </c>
      <c r="K51" s="49">
        <v>78.187541825824113</v>
      </c>
      <c r="L51" s="49">
        <v>79.502942228771388</v>
      </c>
      <c r="M51" s="49">
        <v>78.518658128578693</v>
      </c>
      <c r="P51" s="8">
        <v>3150</v>
      </c>
      <c r="Q51" s="49">
        <v>95.318000534589729</v>
      </c>
      <c r="R51" s="49">
        <v>94.359807490035436</v>
      </c>
      <c r="S51" s="49">
        <v>93.99417249812636</v>
      </c>
      <c r="T51" s="49">
        <v>95.391077447069776</v>
      </c>
      <c r="U51" s="49">
        <v>98.701806532346012</v>
      </c>
      <c r="V51" s="49">
        <v>96.48088099604675</v>
      </c>
    </row>
    <row r="52" spans="3:22" x14ac:dyDescent="0.2">
      <c r="C52" s="8">
        <v>4000</v>
      </c>
      <c r="D52" s="50">
        <v>68.51699459191525</v>
      </c>
      <c r="E52" s="50">
        <v>68.342934575574148</v>
      </c>
      <c r="F52" s="50">
        <v>67.500428108731498</v>
      </c>
      <c r="G52" s="50">
        <v>73.040409369902179</v>
      </c>
      <c r="H52" s="50">
        <v>69.365799793966644</v>
      </c>
      <c r="I52" s="50">
        <v>72.922943166000309</v>
      </c>
      <c r="J52" s="50">
        <v>72.707411460225003</v>
      </c>
      <c r="K52" s="50">
        <v>72.8535290700639</v>
      </c>
      <c r="L52" s="50">
        <v>75.273584151495072</v>
      </c>
      <c r="M52" s="50">
        <v>72.691642687800297</v>
      </c>
      <c r="P52" s="8">
        <v>4000</v>
      </c>
      <c r="Q52" s="50">
        <v>92.21257168610741</v>
      </c>
      <c r="R52" s="50">
        <v>90.60489799830637</v>
      </c>
      <c r="S52" s="50">
        <v>90.287851406363558</v>
      </c>
      <c r="T52" s="50">
        <v>91.546067800186918</v>
      </c>
      <c r="U52" s="50">
        <v>94.64424519400859</v>
      </c>
      <c r="V52" s="50">
        <v>94.190177777619894</v>
      </c>
    </row>
    <row r="53" spans="3:22" x14ac:dyDescent="0.2">
      <c r="C53" s="8">
        <v>5000</v>
      </c>
      <c r="D53" s="49">
        <v>64.15712064422523</v>
      </c>
      <c r="E53" s="49">
        <v>65.412590677638661</v>
      </c>
      <c r="F53" s="49">
        <v>63.187919811146251</v>
      </c>
      <c r="G53" s="49">
        <v>67.937781839659721</v>
      </c>
      <c r="H53" s="49">
        <v>65.427338142820446</v>
      </c>
      <c r="I53" s="49">
        <v>68.540454124769781</v>
      </c>
      <c r="J53" s="49">
        <v>69.271480111514819</v>
      </c>
      <c r="K53" s="49">
        <v>68.3132004797516</v>
      </c>
      <c r="L53" s="49">
        <v>71.182481238955546</v>
      </c>
      <c r="M53" s="49">
        <v>69.474103426451407</v>
      </c>
      <c r="P53" s="8">
        <v>5000</v>
      </c>
      <c r="Q53" s="49">
        <v>89.760097816460089</v>
      </c>
      <c r="R53" s="49">
        <v>88.589077641205833</v>
      </c>
      <c r="S53" s="49">
        <v>87.700523922942409</v>
      </c>
      <c r="T53" s="49">
        <v>90.275203479195696</v>
      </c>
      <c r="U53" s="49">
        <v>93.017006404816158</v>
      </c>
      <c r="V53" s="49">
        <v>93.113593271956546</v>
      </c>
    </row>
    <row r="58" spans="3:22" x14ac:dyDescent="0.2">
      <c r="C58" s="146" t="s">
        <v>37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P58" s="146" t="s">
        <v>37</v>
      </c>
      <c r="Q58" s="146"/>
      <c r="R58" s="146"/>
      <c r="S58" s="146"/>
      <c r="T58" s="146"/>
      <c r="U58" s="146"/>
      <c r="V58" s="146"/>
    </row>
    <row r="59" spans="3:22" x14ac:dyDescent="0.2">
      <c r="C59" s="1" t="s">
        <v>40</v>
      </c>
      <c r="D59" s="147" t="s">
        <v>107</v>
      </c>
      <c r="E59" s="147"/>
      <c r="F59" s="147"/>
      <c r="G59" s="147"/>
      <c r="H59" s="147"/>
      <c r="I59" s="148" t="s">
        <v>108</v>
      </c>
      <c r="J59" s="148"/>
      <c r="K59" s="148"/>
      <c r="L59" s="148"/>
      <c r="M59" s="148"/>
      <c r="P59" s="1" t="s">
        <v>41</v>
      </c>
      <c r="Q59" s="147" t="s">
        <v>107</v>
      </c>
      <c r="R59" s="147"/>
      <c r="S59" s="147"/>
      <c r="T59" s="148" t="s">
        <v>108</v>
      </c>
      <c r="U59" s="148"/>
      <c r="V59" s="148"/>
    </row>
    <row r="60" spans="3:22" x14ac:dyDescent="0.2">
      <c r="C60" s="1" t="s">
        <v>20</v>
      </c>
      <c r="D60" s="7" t="s">
        <v>21</v>
      </c>
      <c r="E60" s="1" t="s">
        <v>22</v>
      </c>
      <c r="F60" s="7" t="s">
        <v>29</v>
      </c>
      <c r="G60" s="7" t="s">
        <v>30</v>
      </c>
      <c r="H60" s="1" t="s">
        <v>31</v>
      </c>
      <c r="I60" s="1" t="s">
        <v>23</v>
      </c>
      <c r="J60" s="7" t="s">
        <v>24</v>
      </c>
      <c r="K60" s="1" t="s">
        <v>32</v>
      </c>
      <c r="L60" s="1" t="s">
        <v>34</v>
      </c>
      <c r="M60" s="1" t="s">
        <v>33</v>
      </c>
      <c r="P60" s="1" t="s">
        <v>20</v>
      </c>
      <c r="Q60" s="7" t="s">
        <v>21</v>
      </c>
      <c r="R60" s="1" t="s">
        <v>22</v>
      </c>
      <c r="S60" s="7" t="s">
        <v>29</v>
      </c>
      <c r="T60" s="1" t="s">
        <v>23</v>
      </c>
      <c r="U60" s="7" t="s">
        <v>24</v>
      </c>
      <c r="V60" s="1" t="s">
        <v>32</v>
      </c>
    </row>
    <row r="61" spans="3:22" x14ac:dyDescent="0.2">
      <c r="C61" s="8">
        <v>50</v>
      </c>
      <c r="D61" s="50">
        <v>60.454596969046769</v>
      </c>
      <c r="E61" s="50">
        <v>50.128165698207866</v>
      </c>
      <c r="F61" s="50">
        <v>64.525906562805176</v>
      </c>
      <c r="G61" s="50">
        <v>65.89519756258899</v>
      </c>
      <c r="H61" s="50">
        <v>55.255314819848358</v>
      </c>
      <c r="I61" s="50">
        <v>58.059202816688256</v>
      </c>
      <c r="J61" s="50">
        <v>51.839983904532836</v>
      </c>
      <c r="K61" s="50">
        <v>62.53906313700319</v>
      </c>
      <c r="L61" s="50">
        <v>63.995732064412827</v>
      </c>
      <c r="M61" s="50">
        <v>57.222826824096089</v>
      </c>
      <c r="P61" s="8">
        <v>50</v>
      </c>
      <c r="Q61" s="49">
        <v>81.037103370843937</v>
      </c>
      <c r="R61" s="49">
        <v>69.773363505824335</v>
      </c>
      <c r="S61" s="49">
        <v>86.32098395931051</v>
      </c>
      <c r="T61" s="49">
        <v>88.580837717225776</v>
      </c>
      <c r="U61" s="49">
        <v>87.980913635483361</v>
      </c>
      <c r="V61" s="49">
        <v>86.555781080425632</v>
      </c>
    </row>
    <row r="62" spans="3:22" x14ac:dyDescent="0.2">
      <c r="C62" s="8">
        <v>63</v>
      </c>
      <c r="D62" s="49">
        <v>57.178671614299226</v>
      </c>
      <c r="E62" s="49">
        <v>57.048753926099295</v>
      </c>
      <c r="F62" s="49">
        <v>57.59099417719348</v>
      </c>
      <c r="G62" s="49">
        <v>58.847520606208391</v>
      </c>
      <c r="H62" s="49">
        <v>52.624882858190965</v>
      </c>
      <c r="I62" s="49">
        <v>58.252139435395186</v>
      </c>
      <c r="J62" s="49">
        <v>58.723824485523281</v>
      </c>
      <c r="K62" s="49">
        <v>61.753420666861217</v>
      </c>
      <c r="L62" s="49">
        <v>60.33866054210884</v>
      </c>
      <c r="M62" s="49">
        <v>56.304466582957097</v>
      </c>
      <c r="P62" s="8">
        <v>63</v>
      </c>
      <c r="Q62" s="50">
        <v>87.251535594851475</v>
      </c>
      <c r="R62" s="50">
        <v>82.514081730454734</v>
      </c>
      <c r="S62" s="50">
        <v>90.656280263506943</v>
      </c>
      <c r="T62" s="50">
        <v>90.14233554022907</v>
      </c>
      <c r="U62" s="50">
        <v>90.977529561609259</v>
      </c>
      <c r="V62" s="50">
        <v>90.393781812615217</v>
      </c>
    </row>
    <row r="63" spans="3:22" x14ac:dyDescent="0.2">
      <c r="C63" s="8">
        <v>80</v>
      </c>
      <c r="D63" s="50">
        <v>63.637904688255077</v>
      </c>
      <c r="E63" s="50">
        <v>59.515997932241021</v>
      </c>
      <c r="F63" s="50">
        <v>64.093276816766377</v>
      </c>
      <c r="G63" s="50">
        <v>60.169644363053884</v>
      </c>
      <c r="H63" s="50">
        <v>65.701220031994495</v>
      </c>
      <c r="I63" s="50">
        <v>54.581760852933499</v>
      </c>
      <c r="J63" s="50">
        <v>65.037968419271223</v>
      </c>
      <c r="K63" s="50">
        <v>65.12557509673077</v>
      </c>
      <c r="L63" s="50">
        <v>63.779289934165689</v>
      </c>
      <c r="M63" s="50">
        <v>58.062060897016295</v>
      </c>
      <c r="P63" s="8">
        <v>80</v>
      </c>
      <c r="Q63" s="49">
        <v>90.777490156306783</v>
      </c>
      <c r="R63" s="49">
        <v>91.177839923475346</v>
      </c>
      <c r="S63" s="49">
        <v>94.485681078300146</v>
      </c>
      <c r="T63" s="49">
        <v>89.608592148469469</v>
      </c>
      <c r="U63" s="49">
        <v>92.369244489454687</v>
      </c>
      <c r="V63" s="49">
        <v>95.23819189679611</v>
      </c>
    </row>
    <row r="64" spans="3:22" x14ac:dyDescent="0.2">
      <c r="C64" s="8">
        <v>100</v>
      </c>
      <c r="D64" s="49">
        <v>59.276321550564106</v>
      </c>
      <c r="E64" s="49">
        <v>58.896858344037845</v>
      </c>
      <c r="F64" s="49">
        <v>63.598545564088788</v>
      </c>
      <c r="G64" s="49">
        <v>54.255112309492269</v>
      </c>
      <c r="H64" s="49">
        <v>62.665552427519614</v>
      </c>
      <c r="I64" s="49">
        <v>57.964835975421941</v>
      </c>
      <c r="J64" s="49">
        <v>58.187994461424616</v>
      </c>
      <c r="K64" s="49">
        <v>58.694426095417043</v>
      </c>
      <c r="L64" s="49">
        <v>56.686009362857774</v>
      </c>
      <c r="M64" s="49">
        <v>59.551285523492936</v>
      </c>
      <c r="P64" s="8">
        <v>100</v>
      </c>
      <c r="Q64" s="50">
        <v>90.953976837867913</v>
      </c>
      <c r="R64" s="50">
        <v>87.450091501628378</v>
      </c>
      <c r="S64" s="50">
        <v>83.974256593539081</v>
      </c>
      <c r="T64" s="50">
        <v>82.663077023455315</v>
      </c>
      <c r="U64" s="50">
        <v>90.73211324304566</v>
      </c>
      <c r="V64" s="50">
        <v>85.933895637374277</v>
      </c>
    </row>
    <row r="65" spans="3:22" x14ac:dyDescent="0.2">
      <c r="C65" s="8">
        <v>125</v>
      </c>
      <c r="D65" s="50">
        <v>63.671470255972409</v>
      </c>
      <c r="E65" s="50">
        <v>61.565944904016355</v>
      </c>
      <c r="F65" s="50">
        <v>61.820474321358049</v>
      </c>
      <c r="G65" s="50">
        <v>58.931159430787766</v>
      </c>
      <c r="H65" s="50">
        <v>60.518895391208019</v>
      </c>
      <c r="I65" s="50">
        <v>57.823178183340552</v>
      </c>
      <c r="J65" s="50">
        <v>55.574418738698277</v>
      </c>
      <c r="K65" s="50">
        <v>58.312962669328627</v>
      </c>
      <c r="L65" s="50">
        <v>56.274867602757048</v>
      </c>
      <c r="M65" s="50">
        <v>56.552715835939857</v>
      </c>
      <c r="P65" s="8">
        <v>125</v>
      </c>
      <c r="Q65" s="49">
        <v>88.923487094613009</v>
      </c>
      <c r="R65" s="49">
        <v>89.292771875116813</v>
      </c>
      <c r="S65" s="49">
        <v>85.392050005389208</v>
      </c>
      <c r="T65" s="49">
        <v>86.347007722917056</v>
      </c>
      <c r="U65" s="49">
        <v>92.442844806757194</v>
      </c>
      <c r="V65" s="49">
        <v>86.416556578834886</v>
      </c>
    </row>
    <row r="66" spans="3:22" x14ac:dyDescent="0.2">
      <c r="C66" s="8">
        <v>160</v>
      </c>
      <c r="D66" s="49">
        <v>66.88263516484183</v>
      </c>
      <c r="E66" s="49">
        <v>66.998776468922287</v>
      </c>
      <c r="F66" s="49">
        <v>70.737569355873319</v>
      </c>
      <c r="G66" s="49">
        <v>67.368689773646935</v>
      </c>
      <c r="H66" s="49">
        <v>71.938024834020808</v>
      </c>
      <c r="I66" s="49">
        <v>72.833887189144633</v>
      </c>
      <c r="J66" s="49">
        <v>73.143189630097751</v>
      </c>
      <c r="K66" s="49">
        <v>68.536543503832675</v>
      </c>
      <c r="L66" s="49">
        <v>77.198029219874087</v>
      </c>
      <c r="M66" s="49">
        <v>75.556177472837888</v>
      </c>
      <c r="P66" s="8">
        <v>160</v>
      </c>
      <c r="Q66" s="50">
        <v>98.45681524942087</v>
      </c>
      <c r="R66" s="50">
        <v>96.985328411485597</v>
      </c>
      <c r="S66" s="50">
        <v>96.495622789145202</v>
      </c>
      <c r="T66" s="50">
        <v>99.300112653826858</v>
      </c>
      <c r="U66" s="50">
        <v>99.545118095283215</v>
      </c>
      <c r="V66" s="50">
        <v>100.86197477244514</v>
      </c>
    </row>
    <row r="67" spans="3:22" x14ac:dyDescent="0.2">
      <c r="C67" s="8">
        <v>200</v>
      </c>
      <c r="D67" s="50">
        <v>68.721514679498497</v>
      </c>
      <c r="E67" s="50">
        <v>67.129084832889518</v>
      </c>
      <c r="F67" s="50">
        <v>63.285895877414276</v>
      </c>
      <c r="G67" s="50">
        <v>65.423030955190882</v>
      </c>
      <c r="H67" s="50">
        <v>71.466734501852912</v>
      </c>
      <c r="I67" s="50">
        <v>66.945986950091239</v>
      </c>
      <c r="J67" s="50">
        <v>66.410217515133212</v>
      </c>
      <c r="K67" s="50">
        <v>63.166372394378719</v>
      </c>
      <c r="L67" s="50">
        <v>66.98956445009091</v>
      </c>
      <c r="M67" s="50">
        <v>70.444917024621645</v>
      </c>
      <c r="P67" s="8">
        <v>200</v>
      </c>
      <c r="Q67" s="49">
        <v>104.19492844692496</v>
      </c>
      <c r="R67" s="49">
        <v>101.09353049976404</v>
      </c>
      <c r="S67" s="49">
        <v>97.313379797676873</v>
      </c>
      <c r="T67" s="49">
        <v>103.11973244191554</v>
      </c>
      <c r="U67" s="49">
        <v>107.2282868578918</v>
      </c>
      <c r="V67" s="49">
        <v>99.540568205654679</v>
      </c>
    </row>
    <row r="68" spans="3:22" x14ac:dyDescent="0.2">
      <c r="C68" s="8">
        <v>250</v>
      </c>
      <c r="D68" s="49">
        <v>69.290923700448829</v>
      </c>
      <c r="E68" s="49">
        <v>69.381982247407123</v>
      </c>
      <c r="F68" s="49">
        <v>67.517353741145229</v>
      </c>
      <c r="G68" s="49">
        <v>71.15639316762676</v>
      </c>
      <c r="H68" s="49">
        <v>67.936660602911189</v>
      </c>
      <c r="I68" s="49">
        <v>70.699203367804941</v>
      </c>
      <c r="J68" s="49">
        <v>70.417693420118127</v>
      </c>
      <c r="K68" s="49">
        <v>68.720285272872843</v>
      </c>
      <c r="L68" s="49">
        <v>73.279791703095313</v>
      </c>
      <c r="M68" s="49">
        <v>73.66371058957013</v>
      </c>
      <c r="P68" s="8">
        <v>250</v>
      </c>
      <c r="Q68" s="50">
        <v>107.57456868016443</v>
      </c>
      <c r="R68" s="50">
        <v>103.1653101067794</v>
      </c>
      <c r="S68" s="50">
        <v>101.55784447957627</v>
      </c>
      <c r="T68" s="50">
        <v>106.91698425121682</v>
      </c>
      <c r="U68" s="50">
        <v>106.92322936810945</v>
      </c>
      <c r="V68" s="50">
        <v>103.68640765363438</v>
      </c>
    </row>
    <row r="69" spans="3:22" x14ac:dyDescent="0.2">
      <c r="C69" s="8">
        <v>315</v>
      </c>
      <c r="D69" s="50">
        <v>70.026928123180952</v>
      </c>
      <c r="E69" s="50">
        <v>68.132987153787084</v>
      </c>
      <c r="F69" s="50">
        <v>66.810601797140421</v>
      </c>
      <c r="G69" s="50">
        <v>68.955190483850373</v>
      </c>
      <c r="H69" s="50">
        <v>67.136626933937649</v>
      </c>
      <c r="I69" s="50">
        <v>75.498272352282143</v>
      </c>
      <c r="J69" s="50">
        <v>72.408174753873539</v>
      </c>
      <c r="K69" s="50">
        <v>73.577175499152773</v>
      </c>
      <c r="L69" s="50">
        <v>74.381606230864648</v>
      </c>
      <c r="M69" s="50">
        <v>76.229364220070948</v>
      </c>
      <c r="P69" s="8">
        <v>315</v>
      </c>
      <c r="Q69" s="49">
        <v>103.80777898034384</v>
      </c>
      <c r="R69" s="49">
        <v>103.24908775804145</v>
      </c>
      <c r="S69" s="49">
        <v>99.490227732853484</v>
      </c>
      <c r="T69" s="49">
        <v>104.075606607521</v>
      </c>
      <c r="U69" s="49">
        <v>105.36603185467254</v>
      </c>
      <c r="V69" s="49">
        <v>102.56141022338286</v>
      </c>
    </row>
    <row r="70" spans="3:22" x14ac:dyDescent="0.2">
      <c r="C70" s="8">
        <v>400</v>
      </c>
      <c r="D70" s="49">
        <v>71.263737343356439</v>
      </c>
      <c r="E70" s="49">
        <v>67.355021493727619</v>
      </c>
      <c r="F70" s="49">
        <v>67.241723926588037</v>
      </c>
      <c r="G70" s="49">
        <v>68.547678794569649</v>
      </c>
      <c r="H70" s="49">
        <v>71.702370729019393</v>
      </c>
      <c r="I70" s="49">
        <v>71.823199097028123</v>
      </c>
      <c r="J70" s="49">
        <v>72.801519125614433</v>
      </c>
      <c r="K70" s="49">
        <v>68.499388996790557</v>
      </c>
      <c r="L70" s="49">
        <v>69.578481792022828</v>
      </c>
      <c r="M70" s="49">
        <v>71.660882162932609</v>
      </c>
      <c r="P70" s="8">
        <v>400</v>
      </c>
      <c r="Q70" s="50">
        <v>103.20124936835711</v>
      </c>
      <c r="R70" s="50">
        <v>103.50771377052416</v>
      </c>
      <c r="S70" s="50">
        <v>104.298273473099</v>
      </c>
      <c r="T70" s="50">
        <v>102.88817041894896</v>
      </c>
      <c r="U70" s="50">
        <v>109.99119998100109</v>
      </c>
      <c r="V70" s="50">
        <v>103.35808281576372</v>
      </c>
    </row>
    <row r="71" spans="3:22" x14ac:dyDescent="0.2">
      <c r="C71" s="8">
        <v>500</v>
      </c>
      <c r="D71" s="50">
        <v>67.826903024117527</v>
      </c>
      <c r="E71" s="50">
        <v>66.81637491728506</v>
      </c>
      <c r="F71" s="50">
        <v>63.808863197706671</v>
      </c>
      <c r="G71" s="50">
        <v>66.168231643793234</v>
      </c>
      <c r="H71" s="50">
        <v>66.358808296829906</v>
      </c>
      <c r="I71" s="50">
        <v>68.42692131093294</v>
      </c>
      <c r="J71" s="50">
        <v>67.735312700043451</v>
      </c>
      <c r="K71" s="50">
        <v>67.795603856472965</v>
      </c>
      <c r="L71" s="50">
        <v>69.254591886601389</v>
      </c>
      <c r="M71" s="50">
        <v>69.470511837282046</v>
      </c>
      <c r="P71" s="8">
        <v>500</v>
      </c>
      <c r="Q71" s="49">
        <v>103.85984981803007</v>
      </c>
      <c r="R71" s="49">
        <v>104.97064116993589</v>
      </c>
      <c r="S71" s="49">
        <v>104.97256465371056</v>
      </c>
      <c r="T71" s="49">
        <v>104.01217818371708</v>
      </c>
      <c r="U71" s="49">
        <v>102.78424401390821</v>
      </c>
      <c r="V71" s="49">
        <v>101.39967217703982</v>
      </c>
    </row>
    <row r="72" spans="3:22" x14ac:dyDescent="0.2">
      <c r="C72" s="8">
        <v>630</v>
      </c>
      <c r="D72" s="49">
        <v>66.260528099682134</v>
      </c>
      <c r="E72" s="49">
        <v>67.31467765943961</v>
      </c>
      <c r="F72" s="49">
        <v>66.415926158656561</v>
      </c>
      <c r="G72" s="49">
        <v>65.04508521538655</v>
      </c>
      <c r="H72" s="49">
        <v>67.682015141444424</v>
      </c>
      <c r="I72" s="49">
        <v>65.272337513351076</v>
      </c>
      <c r="J72" s="49">
        <v>67.405553067586069</v>
      </c>
      <c r="K72" s="49">
        <v>68.389992975685274</v>
      </c>
      <c r="L72" s="49">
        <v>67.087870763535662</v>
      </c>
      <c r="M72" s="49">
        <v>66.874240967386584</v>
      </c>
      <c r="P72" s="8">
        <v>630</v>
      </c>
      <c r="Q72" s="50">
        <v>103.17815752606059</v>
      </c>
      <c r="R72" s="50">
        <v>102.77670731977983</v>
      </c>
      <c r="S72" s="50">
        <v>99.917388872460563</v>
      </c>
      <c r="T72" s="50">
        <v>103.58723338370685</v>
      </c>
      <c r="U72" s="50">
        <v>105.7688500612302</v>
      </c>
      <c r="V72" s="50">
        <v>103.32793961514982</v>
      </c>
    </row>
    <row r="73" spans="3:22" x14ac:dyDescent="0.2">
      <c r="C73" s="8">
        <v>800</v>
      </c>
      <c r="D73" s="50">
        <v>62.202716827392578</v>
      </c>
      <c r="E73" s="50">
        <v>64.014897772834587</v>
      </c>
      <c r="F73" s="50">
        <v>62.565678048407896</v>
      </c>
      <c r="G73" s="50">
        <v>61.53211601635882</v>
      </c>
      <c r="H73" s="50">
        <v>63.725099289595192</v>
      </c>
      <c r="I73" s="50">
        <v>62.820728537925191</v>
      </c>
      <c r="J73" s="50">
        <v>64.256330948241015</v>
      </c>
      <c r="K73" s="50">
        <v>64.247704159961785</v>
      </c>
      <c r="L73" s="50">
        <v>62.640708124315417</v>
      </c>
      <c r="M73" s="50">
        <v>64.223141553206148</v>
      </c>
      <c r="P73" s="8">
        <v>800</v>
      </c>
      <c r="Q73" s="49">
        <v>102.94325051241142</v>
      </c>
      <c r="R73" s="49">
        <v>99.620212668094908</v>
      </c>
      <c r="S73" s="49">
        <v>101.2015238289148</v>
      </c>
      <c r="T73" s="49">
        <v>103.90996777041144</v>
      </c>
      <c r="U73" s="49">
        <v>104.92402591561913</v>
      </c>
      <c r="V73" s="49">
        <v>101.54321770345904</v>
      </c>
    </row>
    <row r="74" spans="3:22" x14ac:dyDescent="0.2">
      <c r="C74" s="8">
        <v>1000</v>
      </c>
      <c r="D74" s="49">
        <v>60.980210680545994</v>
      </c>
      <c r="E74" s="49">
        <v>59.244252835017228</v>
      </c>
      <c r="F74" s="49">
        <v>58.870434307960714</v>
      </c>
      <c r="G74" s="49">
        <v>59.531066188375462</v>
      </c>
      <c r="H74" s="49">
        <v>60.650634726481648</v>
      </c>
      <c r="I74" s="49">
        <v>60.622494255668428</v>
      </c>
      <c r="J74" s="49">
        <v>59.234130512584336</v>
      </c>
      <c r="K74" s="49">
        <v>60.51955846541216</v>
      </c>
      <c r="L74" s="49">
        <v>61.881884412875969</v>
      </c>
      <c r="M74" s="49">
        <v>61.072857861357612</v>
      </c>
      <c r="P74" s="8">
        <v>1000</v>
      </c>
      <c r="Q74" s="50">
        <v>100.23914883635764</v>
      </c>
      <c r="R74" s="50">
        <v>100.17212704745207</v>
      </c>
      <c r="S74" s="50">
        <v>99.492687272526439</v>
      </c>
      <c r="T74" s="50">
        <v>100.39587637862945</v>
      </c>
      <c r="U74" s="50">
        <v>100.29689618877899</v>
      </c>
      <c r="V74" s="50">
        <v>100.78417875106622</v>
      </c>
    </row>
    <row r="75" spans="3:22" x14ac:dyDescent="0.2">
      <c r="C75" s="8">
        <v>1250</v>
      </c>
      <c r="D75" s="50">
        <v>57.476890567540003</v>
      </c>
      <c r="E75" s="50">
        <v>58.139587438095361</v>
      </c>
      <c r="F75" s="50">
        <v>57.31594546818642</v>
      </c>
      <c r="G75" s="50">
        <v>57.835080973064628</v>
      </c>
      <c r="H75" s="50">
        <v>57.055973583192966</v>
      </c>
      <c r="I75" s="50">
        <v>57.999453358600299</v>
      </c>
      <c r="J75" s="50">
        <v>57.469275187077137</v>
      </c>
      <c r="K75" s="50">
        <v>58.78028227134309</v>
      </c>
      <c r="L75" s="50">
        <v>57.791434310117744</v>
      </c>
      <c r="M75" s="50">
        <v>58.530213390110774</v>
      </c>
      <c r="P75" s="8">
        <v>1250</v>
      </c>
      <c r="Q75" s="49">
        <v>99.613147561716474</v>
      </c>
      <c r="R75" s="49">
        <v>98.458214163894283</v>
      </c>
      <c r="S75" s="49">
        <v>98.852766441686398</v>
      </c>
      <c r="T75" s="49">
        <v>98.561943775030699</v>
      </c>
      <c r="U75" s="49">
        <v>99.003216255876353</v>
      </c>
      <c r="V75" s="49">
        <v>102.0438783538557</v>
      </c>
    </row>
    <row r="76" spans="3:22" x14ac:dyDescent="0.2">
      <c r="C76" s="8">
        <v>1600</v>
      </c>
      <c r="D76" s="49">
        <v>56.476323818646534</v>
      </c>
      <c r="E76" s="49">
        <v>56.021820658261014</v>
      </c>
      <c r="F76" s="49">
        <v>56.173593195918876</v>
      </c>
      <c r="G76" s="49">
        <v>55.719958105160082</v>
      </c>
      <c r="H76" s="49">
        <v>56.165738892199386</v>
      </c>
      <c r="I76" s="49">
        <v>56.793611967484232</v>
      </c>
      <c r="J76" s="49">
        <v>55.183840475128029</v>
      </c>
      <c r="K76" s="49">
        <v>55.265561438796617</v>
      </c>
      <c r="L76" s="49">
        <v>56.321056656855873</v>
      </c>
      <c r="M76" s="49">
        <v>55.632801741447999</v>
      </c>
      <c r="P76" s="8">
        <v>1600</v>
      </c>
      <c r="Q76" s="50">
        <v>98.590760015443308</v>
      </c>
      <c r="R76" s="50">
        <v>98.426183607475608</v>
      </c>
      <c r="S76" s="50">
        <v>97.814981934232563</v>
      </c>
      <c r="T76" s="50">
        <v>99.178125079933793</v>
      </c>
      <c r="U76" s="50">
        <v>98.682000203240193</v>
      </c>
      <c r="V76" s="50">
        <v>98.503328325179055</v>
      </c>
    </row>
    <row r="77" spans="3:22" x14ac:dyDescent="0.2">
      <c r="C77" s="8">
        <v>2000</v>
      </c>
      <c r="D77" s="50">
        <v>53.230134021934219</v>
      </c>
      <c r="E77" s="50">
        <v>54.012565405433605</v>
      </c>
      <c r="F77" s="50">
        <v>54.644164892905515</v>
      </c>
      <c r="G77" s="50">
        <v>54.751347603688714</v>
      </c>
      <c r="H77" s="50">
        <v>53.729934699499786</v>
      </c>
      <c r="I77" s="50">
        <v>54.613408245663777</v>
      </c>
      <c r="J77" s="50">
        <v>54.029445761356627</v>
      </c>
      <c r="K77" s="50">
        <v>54.142888250369253</v>
      </c>
      <c r="L77" s="50">
        <v>55.986724474255183</v>
      </c>
      <c r="M77" s="50">
        <v>54.567901725584761</v>
      </c>
      <c r="P77" s="8">
        <v>2000</v>
      </c>
      <c r="Q77" s="49">
        <v>98.734543414448581</v>
      </c>
      <c r="R77" s="49">
        <v>97.724535548744015</v>
      </c>
      <c r="S77" s="49">
        <v>97.594419629998029</v>
      </c>
      <c r="T77" s="49">
        <v>98.396718937844398</v>
      </c>
      <c r="U77" s="49">
        <v>98.753352107858305</v>
      </c>
      <c r="V77" s="49">
        <v>96.452286049709443</v>
      </c>
    </row>
    <row r="78" spans="3:22" x14ac:dyDescent="0.2">
      <c r="C78" s="8">
        <v>2500</v>
      </c>
      <c r="D78" s="49">
        <v>55.340427956406828</v>
      </c>
      <c r="E78" s="49">
        <v>55.35309857169154</v>
      </c>
      <c r="F78" s="49">
        <v>55.639511700334218</v>
      </c>
      <c r="G78" s="49">
        <v>57.267377230957266</v>
      </c>
      <c r="H78" s="49">
        <v>55.626406545069678</v>
      </c>
      <c r="I78" s="49">
        <v>56.314311574687288</v>
      </c>
      <c r="J78" s="49">
        <v>57.685248288241297</v>
      </c>
      <c r="K78" s="49">
        <v>56.148718656367855</v>
      </c>
      <c r="L78" s="49">
        <v>57.94213275099353</v>
      </c>
      <c r="M78" s="49">
        <v>57.53677148496471</v>
      </c>
      <c r="P78" s="8">
        <v>2500</v>
      </c>
      <c r="Q78" s="50">
        <v>99.435035975256625</v>
      </c>
      <c r="R78" s="50">
        <v>98.187275892923893</v>
      </c>
      <c r="S78" s="50">
        <v>99.094359081206605</v>
      </c>
      <c r="T78" s="50">
        <v>99.742124587827135</v>
      </c>
      <c r="U78" s="50">
        <v>100.78932798715462</v>
      </c>
      <c r="V78" s="50">
        <v>100.09747297757019</v>
      </c>
    </row>
    <row r="79" spans="3:22" x14ac:dyDescent="0.2">
      <c r="C79" s="8">
        <v>3150</v>
      </c>
      <c r="D79" s="50">
        <v>55.833012803425383</v>
      </c>
      <c r="E79" s="50">
        <v>56.265658105995016</v>
      </c>
      <c r="F79" s="50">
        <v>55.196876672035891</v>
      </c>
      <c r="G79" s="50">
        <v>57.814483387779646</v>
      </c>
      <c r="H79" s="50">
        <v>55.486750008454962</v>
      </c>
      <c r="I79" s="50">
        <v>57.214231405793541</v>
      </c>
      <c r="J79" s="50">
        <v>57.69061453422291</v>
      </c>
      <c r="K79" s="50">
        <v>56.710577776244413</v>
      </c>
      <c r="L79" s="50">
        <v>60.171847516505416</v>
      </c>
      <c r="M79" s="50">
        <v>57.7945751282328</v>
      </c>
      <c r="P79" s="8">
        <v>3150</v>
      </c>
      <c r="Q79" s="49">
        <v>97.897397184150165</v>
      </c>
      <c r="R79" s="49">
        <v>97.041257524262207</v>
      </c>
      <c r="S79" s="49">
        <v>97.103584768656432</v>
      </c>
      <c r="T79" s="49">
        <v>97.863061003867884</v>
      </c>
      <c r="U79" s="49">
        <v>98.470690368709711</v>
      </c>
      <c r="V79" s="49">
        <v>96.438454574454298</v>
      </c>
    </row>
    <row r="80" spans="3:22" x14ac:dyDescent="0.2">
      <c r="C80" s="8">
        <v>4000</v>
      </c>
      <c r="D80" s="49">
        <v>50.591083605264878</v>
      </c>
      <c r="E80" s="49">
        <v>52.198207401179104</v>
      </c>
      <c r="F80" s="49">
        <v>50.484623320714725</v>
      </c>
      <c r="G80" s="49">
        <v>53.589889497247363</v>
      </c>
      <c r="H80" s="49">
        <v>51.710585451837794</v>
      </c>
      <c r="I80" s="49">
        <v>52.564226747579966</v>
      </c>
      <c r="J80" s="49">
        <v>53.229062243739953</v>
      </c>
      <c r="K80" s="49">
        <v>52.447128823073491</v>
      </c>
      <c r="L80" s="49">
        <v>56.196495081927324</v>
      </c>
      <c r="M80" s="49">
        <v>53.129347542288222</v>
      </c>
      <c r="P80" s="8">
        <v>4000</v>
      </c>
      <c r="Q80" s="50">
        <v>94.325834861577945</v>
      </c>
      <c r="R80" s="50">
        <v>93.207997124046798</v>
      </c>
      <c r="S80" s="50">
        <v>92.94559636283897</v>
      </c>
      <c r="T80" s="50">
        <v>94.296003621799912</v>
      </c>
      <c r="U80" s="50">
        <v>95.691542539381444</v>
      </c>
      <c r="V80" s="50">
        <v>94.686570934292021</v>
      </c>
    </row>
    <row r="81" spans="3:26" x14ac:dyDescent="0.2">
      <c r="C81" s="8">
        <v>5000</v>
      </c>
      <c r="D81" s="50">
        <v>45.35254910512851</v>
      </c>
      <c r="E81" s="50">
        <v>47.224694599698608</v>
      </c>
      <c r="F81" s="50">
        <v>45.239385232158092</v>
      </c>
      <c r="G81" s="50">
        <v>48.418658158251347</v>
      </c>
      <c r="H81" s="50">
        <v>46.884606265310033</v>
      </c>
      <c r="I81" s="50">
        <v>46.727679701786059</v>
      </c>
      <c r="J81" s="50">
        <v>48.62261327716152</v>
      </c>
      <c r="K81" s="50">
        <v>47.97803707086193</v>
      </c>
      <c r="L81" s="50">
        <v>51.518404268389965</v>
      </c>
      <c r="M81" s="50">
        <v>48.72538256069312</v>
      </c>
      <c r="P81" s="8">
        <v>5000</v>
      </c>
      <c r="Q81" s="49">
        <v>91.885779816383533</v>
      </c>
      <c r="R81" s="49">
        <v>91.89495202023447</v>
      </c>
      <c r="S81" s="49">
        <v>91.533914328302004</v>
      </c>
      <c r="T81" s="49">
        <v>93.380406178973118</v>
      </c>
      <c r="U81" s="49">
        <v>93.368185681507995</v>
      </c>
      <c r="V81" s="49">
        <v>92.640858825335158</v>
      </c>
    </row>
    <row r="84" spans="3:26" x14ac:dyDescent="0.2">
      <c r="C84" s="146" t="s">
        <v>38</v>
      </c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P84" s="146" t="s">
        <v>38</v>
      </c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3:26" x14ac:dyDescent="0.2">
      <c r="C85" s="1" t="s">
        <v>40</v>
      </c>
      <c r="D85" s="147" t="s">
        <v>107</v>
      </c>
      <c r="E85" s="147"/>
      <c r="F85" s="147"/>
      <c r="G85" s="147"/>
      <c r="H85" s="147"/>
      <c r="I85" s="148" t="s">
        <v>108</v>
      </c>
      <c r="J85" s="148"/>
      <c r="K85" s="148"/>
      <c r="L85" s="148"/>
      <c r="M85" s="148"/>
      <c r="P85" s="1" t="s">
        <v>41</v>
      </c>
      <c r="Q85" s="147" t="s">
        <v>107</v>
      </c>
      <c r="R85" s="147"/>
      <c r="S85" s="147"/>
      <c r="T85" s="147"/>
      <c r="U85" s="147"/>
      <c r="V85" s="148" t="s">
        <v>108</v>
      </c>
      <c r="W85" s="148"/>
      <c r="X85" s="148"/>
      <c r="Y85" s="148"/>
      <c r="Z85" s="148"/>
    </row>
    <row r="86" spans="3:26" x14ac:dyDescent="0.2">
      <c r="C86" s="1" t="s">
        <v>20</v>
      </c>
      <c r="D86" s="7" t="s">
        <v>21</v>
      </c>
      <c r="E86" s="1" t="s">
        <v>22</v>
      </c>
      <c r="F86" s="7" t="s">
        <v>29</v>
      </c>
      <c r="G86" s="7" t="s">
        <v>30</v>
      </c>
      <c r="H86" s="1" t="s">
        <v>31</v>
      </c>
      <c r="I86" s="1" t="s">
        <v>23</v>
      </c>
      <c r="J86" s="7" t="s">
        <v>24</v>
      </c>
      <c r="K86" s="1" t="s">
        <v>32</v>
      </c>
      <c r="L86" s="1" t="s">
        <v>34</v>
      </c>
      <c r="M86" s="1" t="s">
        <v>33</v>
      </c>
      <c r="P86" s="1" t="s">
        <v>20</v>
      </c>
      <c r="Q86" s="7" t="s">
        <v>21</v>
      </c>
      <c r="R86" s="1" t="s">
        <v>22</v>
      </c>
      <c r="S86" s="7" t="s">
        <v>29</v>
      </c>
      <c r="T86" s="1" t="s">
        <v>30</v>
      </c>
      <c r="U86" s="7" t="s">
        <v>31</v>
      </c>
      <c r="V86" s="1" t="s">
        <v>23</v>
      </c>
      <c r="W86" s="7" t="s">
        <v>24</v>
      </c>
      <c r="X86" s="1" t="s">
        <v>32</v>
      </c>
      <c r="Y86" s="7" t="s">
        <v>34</v>
      </c>
      <c r="Z86" s="1" t="s">
        <v>33</v>
      </c>
    </row>
    <row r="87" spans="3:26" x14ac:dyDescent="0.2">
      <c r="C87" s="8">
        <v>50</v>
      </c>
      <c r="D87" s="50">
        <v>55.844960441416745</v>
      </c>
      <c r="E87" s="50">
        <v>50.03272891467131</v>
      </c>
      <c r="F87" s="50">
        <v>60.526902940538193</v>
      </c>
      <c r="G87" s="50">
        <v>67.031155402671558</v>
      </c>
      <c r="H87" s="50">
        <v>62.157538228895554</v>
      </c>
      <c r="I87" s="50">
        <v>53.792492413761643</v>
      </c>
      <c r="J87" s="50">
        <v>50.431376459256484</v>
      </c>
      <c r="K87" s="50">
        <v>57.057034430343116</v>
      </c>
      <c r="L87" s="50">
        <v>64.83342155205024</v>
      </c>
      <c r="M87" s="50">
        <v>61.82764872672066</v>
      </c>
      <c r="P87" s="8">
        <v>50</v>
      </c>
      <c r="Q87" s="49">
        <v>86</v>
      </c>
      <c r="R87" s="49">
        <v>83.123510114723274</v>
      </c>
      <c r="S87" s="49">
        <v>87.980913635483361</v>
      </c>
      <c r="T87" s="49">
        <v>75.199756914642251</v>
      </c>
      <c r="U87" s="49">
        <v>86.555781080425632</v>
      </c>
      <c r="V87" s="49">
        <v>80.057120008933168</v>
      </c>
      <c r="W87" s="49">
        <v>77.602896688612347</v>
      </c>
      <c r="X87" s="49">
        <v>82.97510590091828</v>
      </c>
      <c r="Y87" s="49">
        <v>83</v>
      </c>
      <c r="Z87" s="49">
        <v>70.388628232399853</v>
      </c>
    </row>
    <row r="88" spans="3:26" x14ac:dyDescent="0.2">
      <c r="C88" s="8">
        <v>63</v>
      </c>
      <c r="D88" s="49">
        <v>59.286043702207536</v>
      </c>
      <c r="E88" s="49">
        <v>55.985070979444288</v>
      </c>
      <c r="F88" s="49">
        <v>53.699958417568986</v>
      </c>
      <c r="G88" s="49">
        <v>57.056400943809834</v>
      </c>
      <c r="H88" s="49">
        <v>53.724964748040499</v>
      </c>
      <c r="I88" s="49">
        <v>59.916291657521668</v>
      </c>
      <c r="J88" s="49">
        <v>59.082748339569285</v>
      </c>
      <c r="K88" s="49">
        <v>59.505781632326965</v>
      </c>
      <c r="L88" s="49">
        <v>62.124026724008417</v>
      </c>
      <c r="M88" s="49">
        <v>53.040713877904984</v>
      </c>
      <c r="P88" s="8">
        <v>63</v>
      </c>
      <c r="Q88" s="50">
        <v>93</v>
      </c>
      <c r="R88" s="50">
        <v>86.114745145423385</v>
      </c>
      <c r="S88" s="50">
        <v>90.977529561609259</v>
      </c>
      <c r="T88" s="50">
        <v>83.46411587544624</v>
      </c>
      <c r="U88" s="50">
        <v>90.393781812615217</v>
      </c>
      <c r="V88" s="50">
        <v>79.093252646547327</v>
      </c>
      <c r="W88" s="50">
        <v>82.151660413373236</v>
      </c>
      <c r="X88" s="50">
        <v>84.974258987455713</v>
      </c>
      <c r="Y88" s="50">
        <v>91.98087587187382</v>
      </c>
      <c r="Z88" s="50">
        <v>75.092467182155801</v>
      </c>
    </row>
    <row r="89" spans="3:26" x14ac:dyDescent="0.2">
      <c r="C89" s="8">
        <v>80</v>
      </c>
      <c r="D89" s="50">
        <v>61.030821640567005</v>
      </c>
      <c r="E89" s="50">
        <v>66.908479507059994</v>
      </c>
      <c r="F89" s="50">
        <v>62.906982488799514</v>
      </c>
      <c r="G89" s="50">
        <v>65.956000225085049</v>
      </c>
      <c r="H89" s="50">
        <v>63.385439228659727</v>
      </c>
      <c r="I89" s="50">
        <v>64.13058429294162</v>
      </c>
      <c r="J89" s="50">
        <v>68.630008946649525</v>
      </c>
      <c r="K89" s="50">
        <v>63.442533283019337</v>
      </c>
      <c r="L89" s="50">
        <v>70.161566728026003</v>
      </c>
      <c r="M89" s="50">
        <v>60.669382171025354</v>
      </c>
      <c r="P89" s="8">
        <v>80</v>
      </c>
      <c r="Q89" s="49">
        <v>89.1</v>
      </c>
      <c r="R89" s="49">
        <v>90.158799101927571</v>
      </c>
      <c r="S89" s="49">
        <v>92.369244489454687</v>
      </c>
      <c r="T89" s="49">
        <v>90.641555959364098</v>
      </c>
      <c r="U89" s="49">
        <v>95.23819189679611</v>
      </c>
      <c r="V89" s="49">
        <v>82.820581539995686</v>
      </c>
      <c r="W89" s="49">
        <v>94.344562130079737</v>
      </c>
      <c r="X89" s="49">
        <v>92.791803501136386</v>
      </c>
      <c r="Y89" s="49">
        <v>93.150044153607084</v>
      </c>
      <c r="Z89" s="49">
        <v>83.465417867372523</v>
      </c>
    </row>
    <row r="90" spans="3:26" x14ac:dyDescent="0.2">
      <c r="C90" s="8">
        <v>100</v>
      </c>
      <c r="D90" s="49">
        <v>58.608966538269598</v>
      </c>
      <c r="E90" s="49">
        <v>58.45263168238386</v>
      </c>
      <c r="F90" s="49">
        <v>61.068032926146749</v>
      </c>
      <c r="G90" s="49">
        <v>56.67149292583197</v>
      </c>
      <c r="H90" s="49">
        <v>59.605451724586096</v>
      </c>
      <c r="I90" s="49">
        <v>59.828412095571878</v>
      </c>
      <c r="J90" s="49">
        <v>60.418286705425515</v>
      </c>
      <c r="K90" s="49">
        <v>60.954534586359948</v>
      </c>
      <c r="L90" s="49">
        <v>63.770738530420992</v>
      </c>
      <c r="M90" s="49">
        <v>60.034381631820921</v>
      </c>
      <c r="P90" s="8">
        <v>100</v>
      </c>
      <c r="Q90" s="50">
        <v>80.2</v>
      </c>
      <c r="R90" s="50">
        <v>86.53137559979875</v>
      </c>
      <c r="S90" s="50">
        <v>90.73211324304566</v>
      </c>
      <c r="T90" s="50">
        <v>89.299503654833657</v>
      </c>
      <c r="U90" s="50">
        <v>85.933895637374277</v>
      </c>
      <c r="V90" s="50">
        <v>82.54241943359375</v>
      </c>
      <c r="W90" s="50">
        <v>88.224942307445886</v>
      </c>
      <c r="X90" s="50">
        <v>92.294432428349126</v>
      </c>
      <c r="Y90" s="50">
        <v>97.030537552748967</v>
      </c>
      <c r="Z90" s="50">
        <v>88.750856571614122</v>
      </c>
    </row>
    <row r="91" spans="3:26" x14ac:dyDescent="0.2">
      <c r="C91" s="8">
        <v>125</v>
      </c>
      <c r="D91" s="50">
        <v>65.409254052520339</v>
      </c>
      <c r="E91" s="50">
        <v>65.414697048332116</v>
      </c>
      <c r="F91" s="50">
        <v>68.735696924220747</v>
      </c>
      <c r="G91" s="50">
        <v>67.567091440370945</v>
      </c>
      <c r="H91" s="50">
        <v>67.768913260383044</v>
      </c>
      <c r="I91" s="50">
        <v>58.49391428201421</v>
      </c>
      <c r="J91" s="50">
        <v>58.066509524555734</v>
      </c>
      <c r="K91" s="50">
        <v>61.551547365510061</v>
      </c>
      <c r="L91" s="50">
        <v>57.730761693598147</v>
      </c>
      <c r="M91" s="50">
        <v>62.445552689688547</v>
      </c>
      <c r="P91" s="8">
        <v>125</v>
      </c>
      <c r="Q91" s="49">
        <v>92.2</v>
      </c>
      <c r="R91" s="49">
        <v>90.683369816575095</v>
      </c>
      <c r="S91" s="49">
        <v>92.442844806757194</v>
      </c>
      <c r="T91" s="49">
        <v>90.607802153761469</v>
      </c>
      <c r="U91" s="49">
        <v>86.416556578834886</v>
      </c>
      <c r="V91" s="49">
        <v>90.318446125660842</v>
      </c>
      <c r="W91" s="49">
        <v>89.046106826754126</v>
      </c>
      <c r="X91" s="49">
        <v>93.052286933450134</v>
      </c>
      <c r="Y91" s="49">
        <v>96.054317855478786</v>
      </c>
      <c r="Z91" s="49">
        <v>88.838520068162296</v>
      </c>
    </row>
    <row r="92" spans="3:26" x14ac:dyDescent="0.2">
      <c r="C92" s="8">
        <v>160</v>
      </c>
      <c r="D92" s="49">
        <v>68.883424663975234</v>
      </c>
      <c r="E92" s="49">
        <v>70.964276963246022</v>
      </c>
      <c r="F92" s="49">
        <v>70.517915692245751</v>
      </c>
      <c r="G92" s="49">
        <v>72.954772689532788</v>
      </c>
      <c r="H92" s="49">
        <v>70.438381294657503</v>
      </c>
      <c r="I92" s="49">
        <v>66.577405636291843</v>
      </c>
      <c r="J92" s="49">
        <v>66.380520994198648</v>
      </c>
      <c r="K92" s="49">
        <v>69.141492303569663</v>
      </c>
      <c r="L92" s="49">
        <v>69.800135954133751</v>
      </c>
      <c r="M92" s="49">
        <v>69.614897860421081</v>
      </c>
      <c r="P92" s="8">
        <v>160</v>
      </c>
      <c r="Q92" s="50">
        <v>99.2</v>
      </c>
      <c r="R92" s="50">
        <v>98.276448572461845</v>
      </c>
      <c r="S92" s="50">
        <v>99.545118095283215</v>
      </c>
      <c r="T92" s="50">
        <v>91.621883663007864</v>
      </c>
      <c r="U92" s="50">
        <v>100.86197477244514</v>
      </c>
      <c r="V92" s="50">
        <v>102.16405054946797</v>
      </c>
      <c r="W92" s="50">
        <v>96.205488665108305</v>
      </c>
      <c r="X92" s="50">
        <v>101.1</v>
      </c>
      <c r="Y92" s="50">
        <v>107.55359195171395</v>
      </c>
      <c r="Z92" s="50">
        <v>100.67327406286401</v>
      </c>
    </row>
    <row r="93" spans="3:26" x14ac:dyDescent="0.2">
      <c r="C93" s="8">
        <v>200</v>
      </c>
      <c r="D93" s="50">
        <v>67.087948786187496</v>
      </c>
      <c r="E93" s="50">
        <v>69.827463463891917</v>
      </c>
      <c r="F93" s="50">
        <v>67.635294743588091</v>
      </c>
      <c r="G93" s="50">
        <v>64.506182500454187</v>
      </c>
      <c r="H93" s="50">
        <v>66.977909958457303</v>
      </c>
      <c r="I93" s="50">
        <v>67.195088721552551</v>
      </c>
      <c r="J93" s="50">
        <v>68.590128859820155</v>
      </c>
      <c r="K93" s="50">
        <v>68.340863714325295</v>
      </c>
      <c r="L93" s="50">
        <v>63.62700969570286</v>
      </c>
      <c r="M93" s="50">
        <v>69.969931004539362</v>
      </c>
      <c r="P93" s="8">
        <v>200</v>
      </c>
      <c r="Q93" s="49">
        <v>99.9</v>
      </c>
      <c r="R93" s="49">
        <v>103.18007895211193</v>
      </c>
      <c r="S93" s="49">
        <v>107.2282868578918</v>
      </c>
      <c r="T93" s="49">
        <v>96.175737653459819</v>
      </c>
      <c r="U93" s="49">
        <v>99</v>
      </c>
      <c r="V93" s="49">
        <v>100.08203963723315</v>
      </c>
      <c r="W93" s="49">
        <v>101.38444249274322</v>
      </c>
      <c r="X93" s="49">
        <v>98.564226320617792</v>
      </c>
      <c r="Y93" s="49">
        <v>104.6</v>
      </c>
      <c r="Z93" s="49">
        <v>99.052820957397572</v>
      </c>
    </row>
    <row r="94" spans="3:26" x14ac:dyDescent="0.2">
      <c r="C94" s="8">
        <v>250</v>
      </c>
      <c r="D94" s="50">
        <v>68.652257323804491</v>
      </c>
      <c r="E94" s="50">
        <v>70.984884653212148</v>
      </c>
      <c r="F94" s="50">
        <v>67.217594815973655</v>
      </c>
      <c r="G94" s="50">
        <v>69.54776634968502</v>
      </c>
      <c r="H94" s="50">
        <v>70.515499682215363</v>
      </c>
      <c r="I94" s="50">
        <v>71.715234116405483</v>
      </c>
      <c r="J94" s="50">
        <v>70.917424065142683</v>
      </c>
      <c r="K94" s="50">
        <v>72.971750546573247</v>
      </c>
      <c r="L94" s="50">
        <v>71.871715654645641</v>
      </c>
      <c r="M94" s="50">
        <v>73.361595903124126</v>
      </c>
      <c r="P94" s="8">
        <v>250</v>
      </c>
      <c r="Q94" s="50">
        <v>100.6</v>
      </c>
      <c r="R94" s="50">
        <v>105.47880425141237</v>
      </c>
      <c r="S94" s="50">
        <v>106.92322936810945</v>
      </c>
      <c r="T94" s="50">
        <v>104.05067718130525</v>
      </c>
      <c r="U94" s="50">
        <v>103.68640765363438</v>
      </c>
      <c r="V94" s="50">
        <v>103.05628069537872</v>
      </c>
      <c r="W94" s="50">
        <v>98.084716206756084</v>
      </c>
      <c r="X94" s="50">
        <v>99.689839878842321</v>
      </c>
      <c r="Y94" s="50">
        <v>105.98435236826664</v>
      </c>
      <c r="Z94" s="50">
        <v>101.8</v>
      </c>
    </row>
    <row r="95" spans="3:26" x14ac:dyDescent="0.2">
      <c r="C95" s="8">
        <v>315</v>
      </c>
      <c r="D95" s="49">
        <v>72.768477375151349</v>
      </c>
      <c r="E95" s="49">
        <v>76.689452980138086</v>
      </c>
      <c r="F95" s="49">
        <v>70.411698663722703</v>
      </c>
      <c r="G95" s="49">
        <v>74.732519910928787</v>
      </c>
      <c r="H95" s="49">
        <v>72.379574701003946</v>
      </c>
      <c r="I95" s="49">
        <v>70.585057302489957</v>
      </c>
      <c r="J95" s="49">
        <v>72.758568390023271</v>
      </c>
      <c r="K95" s="49">
        <v>72.90180030565584</v>
      </c>
      <c r="L95" s="49">
        <v>71.51721879728548</v>
      </c>
      <c r="M95" s="49">
        <v>70.370010050516285</v>
      </c>
      <c r="P95" s="8">
        <v>315</v>
      </c>
      <c r="Q95" s="49">
        <v>102.39969116152474</v>
      </c>
      <c r="R95" s="49">
        <v>102.61549303999571</v>
      </c>
      <c r="S95" s="49">
        <v>105</v>
      </c>
      <c r="T95" s="49">
        <v>101.40336061764576</v>
      </c>
      <c r="U95" s="49">
        <v>102.56141022338286</v>
      </c>
      <c r="V95" s="49">
        <v>103.57878066156746</v>
      </c>
      <c r="W95" s="49">
        <v>100.42696854115411</v>
      </c>
      <c r="X95" s="49">
        <v>104.3</v>
      </c>
      <c r="Y95" s="49">
        <v>106.65615379554328</v>
      </c>
      <c r="Z95" s="49">
        <v>100.5370927033601</v>
      </c>
    </row>
    <row r="96" spans="3:26" x14ac:dyDescent="0.2">
      <c r="C96" s="8">
        <v>400</v>
      </c>
      <c r="D96" s="50">
        <v>68.694986222556267</v>
      </c>
      <c r="E96" s="50">
        <v>69.087528885467137</v>
      </c>
      <c r="F96" s="50">
        <v>72.199991255196906</v>
      </c>
      <c r="G96" s="50">
        <v>69.241149678476546</v>
      </c>
      <c r="H96" s="50">
        <v>68.983455974046265</v>
      </c>
      <c r="I96" s="50">
        <v>70.461693109754222</v>
      </c>
      <c r="J96" s="50">
        <v>70.403492839739712</v>
      </c>
      <c r="K96" s="50">
        <v>70.520841045593954</v>
      </c>
      <c r="L96" s="50">
        <v>69.650633885310242</v>
      </c>
      <c r="M96" s="50">
        <v>71.966856426662872</v>
      </c>
      <c r="P96" s="8">
        <v>400</v>
      </c>
      <c r="Q96" s="50">
        <v>102.5</v>
      </c>
      <c r="R96" s="50">
        <v>102.5</v>
      </c>
      <c r="S96" s="50">
        <v>109.1</v>
      </c>
      <c r="T96" s="50">
        <v>103.32413372231071</v>
      </c>
      <c r="U96" s="50">
        <v>103.35808281576372</v>
      </c>
      <c r="V96" s="50">
        <v>102.29772960877806</v>
      </c>
      <c r="W96" s="50">
        <v>100.1</v>
      </c>
      <c r="X96" s="50">
        <v>101.23107393326298</v>
      </c>
      <c r="Y96" s="50">
        <v>108.3</v>
      </c>
      <c r="Z96" s="50">
        <v>103.49666707037974</v>
      </c>
    </row>
    <row r="97" spans="3:26" x14ac:dyDescent="0.2">
      <c r="C97" s="8">
        <v>500</v>
      </c>
      <c r="D97" s="49">
        <v>68.061705515934875</v>
      </c>
      <c r="E97" s="49">
        <v>67.340023040771484</v>
      </c>
      <c r="F97" s="49">
        <v>69.096469410678793</v>
      </c>
      <c r="G97" s="49">
        <v>66.649671567997459</v>
      </c>
      <c r="H97" s="49">
        <v>68.448421768378992</v>
      </c>
      <c r="I97" s="49">
        <v>66.776011808418929</v>
      </c>
      <c r="J97" s="49">
        <v>70.051560550991937</v>
      </c>
      <c r="K97" s="49">
        <v>70.988470964753219</v>
      </c>
      <c r="L97" s="49">
        <v>66.37459231366168</v>
      </c>
      <c r="M97" s="49">
        <v>69.185865969884958</v>
      </c>
      <c r="P97" s="8">
        <v>500</v>
      </c>
      <c r="Q97" s="49">
        <v>101.4</v>
      </c>
      <c r="R97" s="49">
        <v>102.57454388342171</v>
      </c>
      <c r="S97" s="49">
        <v>102.78424401390821</v>
      </c>
      <c r="T97" s="49">
        <v>98.9</v>
      </c>
      <c r="U97" s="49">
        <v>101.1</v>
      </c>
      <c r="V97" s="49">
        <v>101.32755777236953</v>
      </c>
      <c r="W97" s="49">
        <v>102</v>
      </c>
      <c r="X97" s="49">
        <v>101.4</v>
      </c>
      <c r="Y97" s="49">
        <v>106.87829577733599</v>
      </c>
      <c r="Z97" s="49">
        <v>100.15221033340845</v>
      </c>
    </row>
    <row r="98" spans="3:26" x14ac:dyDescent="0.2">
      <c r="C98" s="8">
        <v>630</v>
      </c>
      <c r="D98" s="50">
        <v>66.172279379486497</v>
      </c>
      <c r="E98" s="50">
        <v>68.734103181090532</v>
      </c>
      <c r="F98" s="50">
        <v>68.841999665198969</v>
      </c>
      <c r="G98" s="50">
        <v>68.764913899238124</v>
      </c>
      <c r="H98" s="50">
        <v>65.585919413745202</v>
      </c>
      <c r="I98" s="50">
        <v>67.006648833235232</v>
      </c>
      <c r="J98" s="50">
        <v>66.862011654218719</v>
      </c>
      <c r="K98" s="50">
        <v>68.445101564385922</v>
      </c>
      <c r="L98" s="50">
        <v>64.723350659045551</v>
      </c>
      <c r="M98" s="50">
        <v>67.231074204520567</v>
      </c>
      <c r="P98" s="8">
        <v>630</v>
      </c>
      <c r="Q98" s="50">
        <v>101.3</v>
      </c>
      <c r="R98" s="50">
        <v>100.1758442317214</v>
      </c>
      <c r="S98" s="50">
        <v>105.7688500612302</v>
      </c>
      <c r="T98" s="50">
        <v>97.824363232110059</v>
      </c>
      <c r="U98" s="50">
        <v>103.32793961514982</v>
      </c>
      <c r="V98" s="50">
        <v>102.0639731143926</v>
      </c>
      <c r="W98" s="50">
        <v>97.415841490743787</v>
      </c>
      <c r="X98" s="50">
        <v>101.68213686861621</v>
      </c>
      <c r="Y98" s="50">
        <v>106.83260695940974</v>
      </c>
      <c r="Z98" s="50">
        <v>101.02315561814412</v>
      </c>
    </row>
    <row r="99" spans="3:26" x14ac:dyDescent="0.2">
      <c r="C99" s="8">
        <v>800</v>
      </c>
      <c r="D99" s="49">
        <v>64.231090286738194</v>
      </c>
      <c r="E99" s="49">
        <v>64.996712566327446</v>
      </c>
      <c r="F99" s="49">
        <v>66.352428396124594</v>
      </c>
      <c r="G99" s="49">
        <v>64.941600029457348</v>
      </c>
      <c r="H99" s="49">
        <v>64.52158354413902</v>
      </c>
      <c r="I99" s="49">
        <v>63.81285959194539</v>
      </c>
      <c r="J99" s="49">
        <v>63.026118023237274</v>
      </c>
      <c r="K99" s="49">
        <v>66.717856349302139</v>
      </c>
      <c r="L99" s="49">
        <v>64.604271517743115</v>
      </c>
      <c r="M99" s="49">
        <v>64.639953685185262</v>
      </c>
      <c r="P99" s="8">
        <v>800</v>
      </c>
      <c r="Q99" s="49">
        <v>101</v>
      </c>
      <c r="R99" s="49">
        <v>98.856015913063118</v>
      </c>
      <c r="S99" s="49">
        <v>105</v>
      </c>
      <c r="T99" s="49">
        <v>99.096685360824594</v>
      </c>
      <c r="U99" s="49">
        <v>101</v>
      </c>
      <c r="V99" s="49">
        <v>98.086578216115527</v>
      </c>
      <c r="W99" s="49">
        <v>99.5</v>
      </c>
      <c r="X99" s="49">
        <v>99.9</v>
      </c>
      <c r="Y99" s="49">
        <v>105.4</v>
      </c>
      <c r="Z99" s="49">
        <v>100.74278038292982</v>
      </c>
    </row>
    <row r="100" spans="3:26" x14ac:dyDescent="0.2">
      <c r="C100" s="8">
        <v>1000</v>
      </c>
      <c r="D100" s="50">
        <v>61.665774712195763</v>
      </c>
      <c r="E100" s="50">
        <v>60.268167766136457</v>
      </c>
      <c r="F100" s="50">
        <v>62.653301350554528</v>
      </c>
      <c r="G100" s="50">
        <v>60.661283327380254</v>
      </c>
      <c r="H100" s="50">
        <v>60.055371521550327</v>
      </c>
      <c r="I100" s="50">
        <v>61.326354663647656</v>
      </c>
      <c r="J100" s="50">
        <v>60.039539970218243</v>
      </c>
      <c r="K100" s="50">
        <v>63.254353838288381</v>
      </c>
      <c r="L100" s="50">
        <v>58.915015205970178</v>
      </c>
      <c r="M100" s="50">
        <v>61.024509846218045</v>
      </c>
      <c r="P100" s="8">
        <v>1000</v>
      </c>
      <c r="Q100" s="50">
        <v>99.9</v>
      </c>
      <c r="R100" s="50">
        <v>99.625883726316076</v>
      </c>
      <c r="S100" s="50">
        <v>100.29689618877899</v>
      </c>
      <c r="T100" s="50">
        <v>99.898631634527263</v>
      </c>
      <c r="U100" s="50">
        <v>100.78417875106622</v>
      </c>
      <c r="V100" s="50">
        <v>98.493062016615553</v>
      </c>
      <c r="W100" s="50">
        <v>98.167160258986897</v>
      </c>
      <c r="X100" s="50">
        <v>98.675611282435497</v>
      </c>
      <c r="Y100" s="50">
        <v>102.68630759188441</v>
      </c>
      <c r="Z100" s="50">
        <v>98.962460741584678</v>
      </c>
    </row>
    <row r="101" spans="3:26" x14ac:dyDescent="0.2">
      <c r="C101" s="8">
        <v>1250</v>
      </c>
      <c r="D101" s="50">
        <v>56.91369941331682</v>
      </c>
      <c r="E101" s="50">
        <v>57.150348750247232</v>
      </c>
      <c r="F101" s="50">
        <v>59.474553613495409</v>
      </c>
      <c r="G101" s="50">
        <v>56.616447663642994</v>
      </c>
      <c r="H101" s="50">
        <v>56.552138572112653</v>
      </c>
      <c r="I101" s="50">
        <v>56.048157594554489</v>
      </c>
      <c r="J101" s="50">
        <v>56.17252119092921</v>
      </c>
      <c r="K101" s="50">
        <v>57.008169049895209</v>
      </c>
      <c r="L101" s="50">
        <v>57.697533513163471</v>
      </c>
      <c r="M101" s="50">
        <v>56.869148663112092</v>
      </c>
      <c r="P101" s="8">
        <v>1250</v>
      </c>
      <c r="Q101" s="49">
        <v>97.5</v>
      </c>
      <c r="R101" s="49">
        <v>97.888356638400353</v>
      </c>
      <c r="S101" s="49">
        <v>99.1</v>
      </c>
      <c r="T101" s="49">
        <v>96.185030248780919</v>
      </c>
      <c r="U101" s="49">
        <v>102.1</v>
      </c>
      <c r="V101" s="49">
        <v>97.674552064912021</v>
      </c>
      <c r="W101" s="49">
        <v>96</v>
      </c>
      <c r="X101" s="49">
        <v>98.393778770200669</v>
      </c>
      <c r="Y101" s="49">
        <v>101.71926413285854</v>
      </c>
      <c r="Z101" s="49">
        <v>96.985578741669542</v>
      </c>
    </row>
    <row r="102" spans="3:26" x14ac:dyDescent="0.2">
      <c r="C102" s="8">
        <v>1600</v>
      </c>
      <c r="D102" s="49">
        <v>53.739543996785024</v>
      </c>
      <c r="E102" s="49">
        <v>55.419191761258283</v>
      </c>
      <c r="F102" s="49">
        <v>55.311027169924728</v>
      </c>
      <c r="G102" s="49">
        <v>55.372358447509193</v>
      </c>
      <c r="H102" s="49">
        <v>53.85016414282947</v>
      </c>
      <c r="I102" s="49">
        <v>52.620343881557822</v>
      </c>
      <c r="J102" s="49">
        <v>52.626012140474174</v>
      </c>
      <c r="K102" s="49">
        <v>55.057667340053598</v>
      </c>
      <c r="L102" s="49">
        <v>54.026837078555602</v>
      </c>
      <c r="M102" s="49">
        <v>55.577453344587298</v>
      </c>
      <c r="P102" s="8">
        <v>1600</v>
      </c>
      <c r="Q102" s="50">
        <v>95.4</v>
      </c>
      <c r="R102" s="50">
        <v>97.603268347053884</v>
      </c>
      <c r="S102" s="50">
        <v>98.682000203240193</v>
      </c>
      <c r="T102" s="50">
        <v>94.178634910619593</v>
      </c>
      <c r="U102" s="50">
        <v>98.503328325179055</v>
      </c>
      <c r="V102" s="50">
        <v>96.05450388444757</v>
      </c>
      <c r="W102" s="50">
        <v>95.336600337019718</v>
      </c>
      <c r="X102" s="50">
        <v>95.8</v>
      </c>
      <c r="Y102" s="50">
        <v>99.403028272669744</v>
      </c>
      <c r="Z102" s="50">
        <v>95.550884395356647</v>
      </c>
    </row>
    <row r="103" spans="3:26" x14ac:dyDescent="0.2">
      <c r="C103" s="8">
        <v>2000</v>
      </c>
      <c r="D103" s="50">
        <v>52.737170573273396</v>
      </c>
      <c r="E103" s="50">
        <v>52.5929276092143</v>
      </c>
      <c r="F103" s="50">
        <v>52.905904053805166</v>
      </c>
      <c r="G103" s="50">
        <v>53.328518182459014</v>
      </c>
      <c r="H103" s="50">
        <v>51.336771160736255</v>
      </c>
      <c r="I103" s="50">
        <v>50.489604812947455</v>
      </c>
      <c r="J103" s="50">
        <v>50.732495162931194</v>
      </c>
      <c r="K103" s="50">
        <v>52.335750704133112</v>
      </c>
      <c r="L103" s="50">
        <v>52.659222273774198</v>
      </c>
      <c r="M103" s="50">
        <v>52.473330142006041</v>
      </c>
      <c r="P103" s="8">
        <v>2000</v>
      </c>
      <c r="Q103" s="49">
        <v>96.1</v>
      </c>
      <c r="R103" s="49">
        <v>97.694933304831252</v>
      </c>
      <c r="S103" s="49">
        <v>98.753352107858305</v>
      </c>
      <c r="T103" s="49">
        <v>96.6</v>
      </c>
      <c r="U103" s="49">
        <v>96.2</v>
      </c>
      <c r="V103" s="49">
        <v>96.133978063078757</v>
      </c>
      <c r="W103" s="49">
        <v>95</v>
      </c>
      <c r="X103" s="49">
        <v>94.851422702564918</v>
      </c>
      <c r="Y103" s="49">
        <v>99.9</v>
      </c>
      <c r="Z103" s="49">
        <v>95.649005466037323</v>
      </c>
    </row>
    <row r="104" spans="3:26" x14ac:dyDescent="0.2">
      <c r="C104" s="8">
        <v>2500</v>
      </c>
      <c r="D104" s="49">
        <v>54.442888864025271</v>
      </c>
      <c r="E104" s="49">
        <v>54.908573966690255</v>
      </c>
      <c r="F104" s="49">
        <v>56.399443834985206</v>
      </c>
      <c r="G104" s="49">
        <v>57.938895807579648</v>
      </c>
      <c r="H104" s="49">
        <v>54.129003531275217</v>
      </c>
      <c r="I104" s="49">
        <v>51.927170185127643</v>
      </c>
      <c r="J104" s="49">
        <v>52.91054993165892</v>
      </c>
      <c r="K104" s="49">
        <v>52.146500778198245</v>
      </c>
      <c r="L104" s="49">
        <v>53.98143144963862</v>
      </c>
      <c r="M104" s="49">
        <v>53.191616959042022</v>
      </c>
      <c r="P104" s="8">
        <v>2500</v>
      </c>
      <c r="Q104" s="50">
        <v>99.1</v>
      </c>
      <c r="R104" s="50">
        <v>98.007521442163764</v>
      </c>
      <c r="S104" s="50">
        <v>100.1</v>
      </c>
      <c r="T104" s="50">
        <v>96.452622398297066</v>
      </c>
      <c r="U104" s="50">
        <v>100.09747297757019</v>
      </c>
      <c r="V104" s="50">
        <v>97.504595628098983</v>
      </c>
      <c r="W104" s="50">
        <v>98.180902540793511</v>
      </c>
      <c r="X104" s="50">
        <v>97.456233334043674</v>
      </c>
      <c r="Y104" s="50">
        <v>100.65860672068307</v>
      </c>
      <c r="Z104" s="50">
        <v>97.15032935074592</v>
      </c>
    </row>
    <row r="105" spans="3:26" x14ac:dyDescent="0.2">
      <c r="C105" s="8">
        <v>3150</v>
      </c>
      <c r="D105" s="50">
        <v>54.894410439745876</v>
      </c>
      <c r="E105" s="50">
        <v>55.155030562002445</v>
      </c>
      <c r="F105" s="50">
        <v>56.14096158568622</v>
      </c>
      <c r="G105" s="50">
        <v>58.966805153609442</v>
      </c>
      <c r="H105" s="50">
        <v>55.599963786788749</v>
      </c>
      <c r="I105" s="50">
        <v>51.462200567243343</v>
      </c>
      <c r="J105" s="50">
        <v>51.861854140712566</v>
      </c>
      <c r="K105" s="50">
        <v>51.045509685559217</v>
      </c>
      <c r="L105" s="50">
        <v>54.434043632758844</v>
      </c>
      <c r="M105" s="50">
        <v>52.437261501948036</v>
      </c>
      <c r="P105" s="8">
        <v>3150</v>
      </c>
      <c r="Q105" s="49">
        <v>96.8</v>
      </c>
      <c r="R105" s="49">
        <v>94.20323471354547</v>
      </c>
      <c r="S105" s="49">
        <v>98.470690368709711</v>
      </c>
      <c r="T105" s="49">
        <v>94.373046882217977</v>
      </c>
      <c r="U105" s="49">
        <v>96.3</v>
      </c>
      <c r="V105" s="49">
        <v>95.425948120233784</v>
      </c>
      <c r="W105" s="49">
        <v>95</v>
      </c>
      <c r="X105" s="49">
        <v>95.5</v>
      </c>
      <c r="Y105" s="49">
        <v>98.701806532346012</v>
      </c>
      <c r="Z105" s="49">
        <v>95</v>
      </c>
    </row>
    <row r="106" spans="3:26" x14ac:dyDescent="0.2">
      <c r="C106" s="8">
        <v>4000</v>
      </c>
      <c r="D106" s="49">
        <v>48.27461858896109</v>
      </c>
      <c r="E106" s="49">
        <v>48.442255478871019</v>
      </c>
      <c r="F106" s="49">
        <v>49.652662221451251</v>
      </c>
      <c r="G106" s="49">
        <v>51.721378465213689</v>
      </c>
      <c r="H106" s="49">
        <v>48.257346834145935</v>
      </c>
      <c r="I106" s="49">
        <v>45.368569486470335</v>
      </c>
      <c r="J106" s="49">
        <v>46.73267930988581</v>
      </c>
      <c r="K106" s="49">
        <v>45.114543846216094</v>
      </c>
      <c r="L106" s="49">
        <v>49.093012748969777</v>
      </c>
      <c r="M106" s="49">
        <v>47.621406415152173</v>
      </c>
      <c r="P106" s="8">
        <v>4000</v>
      </c>
      <c r="Q106" s="50">
        <v>91.8</v>
      </c>
      <c r="R106" s="50">
        <v>92.351475524902341</v>
      </c>
      <c r="S106" s="50">
        <v>95.691542539381444</v>
      </c>
      <c r="T106" s="50">
        <v>90.821057019193105</v>
      </c>
      <c r="U106" s="50">
        <v>94.686570934292021</v>
      </c>
      <c r="V106" s="50">
        <v>91.955886279728261</v>
      </c>
      <c r="W106" s="50">
        <v>91.331000073399551</v>
      </c>
      <c r="X106" s="50">
        <v>91.640230884588192</v>
      </c>
      <c r="Y106" s="50">
        <v>94.64424519400859</v>
      </c>
      <c r="Z106" s="50">
        <v>91.12201882676635</v>
      </c>
    </row>
    <row r="107" spans="3:26" x14ac:dyDescent="0.2">
      <c r="C107" s="8">
        <v>5000</v>
      </c>
      <c r="D107" s="50">
        <v>43.644966703734248</v>
      </c>
      <c r="E107" s="50">
        <v>44.761103270325478</v>
      </c>
      <c r="F107" s="50">
        <v>44.557522707933572</v>
      </c>
      <c r="G107" s="50">
        <v>46.301244650648236</v>
      </c>
      <c r="H107" s="50">
        <v>43.346927166526356</v>
      </c>
      <c r="I107" s="50">
        <v>41.78083084140696</v>
      </c>
      <c r="J107" s="50">
        <v>42.541348504305397</v>
      </c>
      <c r="K107" s="50">
        <v>41.62541635063257</v>
      </c>
      <c r="L107" s="50">
        <v>43.943162846827242</v>
      </c>
      <c r="M107" s="50">
        <v>43.34901003988962</v>
      </c>
      <c r="P107" s="8">
        <v>5000</v>
      </c>
      <c r="Q107" s="49">
        <v>91.4</v>
      </c>
      <c r="R107" s="49">
        <v>91.104362502053519</v>
      </c>
      <c r="S107" s="49">
        <v>93.368185681507995</v>
      </c>
      <c r="T107" s="49">
        <v>89.240836577474113</v>
      </c>
      <c r="U107" s="49">
        <v>92.1</v>
      </c>
      <c r="V107" s="49">
        <v>90.395335010721666</v>
      </c>
      <c r="W107" s="49">
        <v>89.9</v>
      </c>
      <c r="X107" s="49">
        <v>90</v>
      </c>
      <c r="Y107" s="49">
        <v>93.017006404816158</v>
      </c>
      <c r="Z107" s="49">
        <v>90.6</v>
      </c>
    </row>
    <row r="110" spans="3:26" x14ac:dyDescent="0.2">
      <c r="C110" s="149" t="s">
        <v>39</v>
      </c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P110" s="146" t="s">
        <v>39</v>
      </c>
      <c r="Q110" s="146"/>
      <c r="R110" s="146"/>
      <c r="S110" s="146"/>
      <c r="T110" s="146"/>
      <c r="U110" s="146"/>
      <c r="V110" s="146"/>
    </row>
    <row r="111" spans="3:26" x14ac:dyDescent="0.2">
      <c r="C111" s="1" t="s">
        <v>40</v>
      </c>
      <c r="D111" s="147" t="s">
        <v>107</v>
      </c>
      <c r="E111" s="147"/>
      <c r="F111" s="147"/>
      <c r="G111" s="147"/>
      <c r="H111" s="147"/>
      <c r="I111" s="148" t="s">
        <v>108</v>
      </c>
      <c r="J111" s="148"/>
      <c r="K111" s="148"/>
      <c r="L111" s="148"/>
      <c r="M111" s="148"/>
      <c r="P111" s="1" t="s">
        <v>41</v>
      </c>
      <c r="Q111" s="147" t="s">
        <v>107</v>
      </c>
      <c r="R111" s="147"/>
      <c r="S111" s="147"/>
      <c r="T111" s="148" t="s">
        <v>108</v>
      </c>
      <c r="U111" s="148"/>
      <c r="V111" s="148"/>
    </row>
    <row r="112" spans="3:26" x14ac:dyDescent="0.2">
      <c r="C112" s="1" t="s">
        <v>20</v>
      </c>
      <c r="D112" s="7" t="s">
        <v>21</v>
      </c>
      <c r="E112" s="1" t="s">
        <v>22</v>
      </c>
      <c r="F112" s="7" t="s">
        <v>29</v>
      </c>
      <c r="G112" s="7" t="s">
        <v>30</v>
      </c>
      <c r="H112" s="1" t="s">
        <v>31</v>
      </c>
      <c r="I112" s="1" t="s">
        <v>23</v>
      </c>
      <c r="J112" s="7" t="s">
        <v>24</v>
      </c>
      <c r="K112" s="1" t="s">
        <v>32</v>
      </c>
      <c r="L112" s="1" t="s">
        <v>34</v>
      </c>
      <c r="M112" s="1" t="s">
        <v>33</v>
      </c>
      <c r="P112" s="1" t="s">
        <v>20</v>
      </c>
      <c r="Q112" s="7" t="s">
        <v>21</v>
      </c>
      <c r="R112" s="1" t="s">
        <v>22</v>
      </c>
      <c r="S112" s="7" t="s">
        <v>29</v>
      </c>
      <c r="T112" s="1" t="s">
        <v>23</v>
      </c>
      <c r="U112" s="7" t="s">
        <v>24</v>
      </c>
      <c r="V112" s="1" t="s">
        <v>32</v>
      </c>
    </row>
    <row r="113" spans="3:22" x14ac:dyDescent="0.2">
      <c r="C113" s="8">
        <v>50</v>
      </c>
      <c r="D113" s="49">
        <v>47.686776595329171</v>
      </c>
      <c r="E113" s="49">
        <v>37.667957436108424</v>
      </c>
      <c r="F113" s="49">
        <v>53.592499591481939</v>
      </c>
      <c r="G113" s="49">
        <v>54.589536551969594</v>
      </c>
      <c r="H113" s="49">
        <v>45.810425315746997</v>
      </c>
      <c r="I113" s="49">
        <v>43.6961125745893</v>
      </c>
      <c r="J113" s="49">
        <v>42.696112574589336</v>
      </c>
      <c r="K113" s="49">
        <v>53.323372266126341</v>
      </c>
      <c r="L113" s="49">
        <v>53.569751009894809</v>
      </c>
      <c r="M113" s="49">
        <v>43.85327848493165</v>
      </c>
      <c r="N113" s="19"/>
      <c r="P113" s="8">
        <v>50</v>
      </c>
      <c r="Q113" s="49">
        <v>87.980913635483361</v>
      </c>
      <c r="R113" s="49">
        <v>69.773363505824335</v>
      </c>
      <c r="S113" s="49">
        <v>86.32098395931051</v>
      </c>
      <c r="T113" s="49">
        <v>88.580837717225776</v>
      </c>
      <c r="U113" s="49">
        <v>88.280875676354569</v>
      </c>
      <c r="V113" s="49">
        <v>86.555781080425632</v>
      </c>
    </row>
    <row r="114" spans="3:22" x14ac:dyDescent="0.2">
      <c r="C114" s="8">
        <v>63</v>
      </c>
      <c r="D114" s="50">
        <v>34.516979952356706</v>
      </c>
      <c r="E114" s="50">
        <v>35.085649138646765</v>
      </c>
      <c r="F114" s="50">
        <v>37.209428820306854</v>
      </c>
      <c r="G114" s="50">
        <v>38.740785904567034</v>
      </c>
      <c r="H114" s="50">
        <v>36.1071615191738</v>
      </c>
      <c r="I114" s="50">
        <v>41.015482722000002</v>
      </c>
      <c r="J114" s="50">
        <v>42.555501548272197</v>
      </c>
      <c r="K114" s="50">
        <v>43.929565247514759</v>
      </c>
      <c r="L114" s="50">
        <v>47.780341757616952</v>
      </c>
      <c r="M114" s="50">
        <v>40.876989919592397</v>
      </c>
      <c r="N114" s="19"/>
      <c r="P114" s="8">
        <v>63</v>
      </c>
      <c r="Q114" s="50">
        <v>90.977529561609259</v>
      </c>
      <c r="R114" s="50">
        <v>82.514081730454734</v>
      </c>
      <c r="S114" s="50">
        <v>90.656280263506943</v>
      </c>
      <c r="T114" s="50">
        <v>90.14233554022907</v>
      </c>
      <c r="U114" s="50">
        <v>90.559932550919171</v>
      </c>
      <c r="V114" s="50">
        <v>90.393781812615217</v>
      </c>
    </row>
    <row r="115" spans="3:22" x14ac:dyDescent="0.2">
      <c r="C115" s="8">
        <v>80</v>
      </c>
      <c r="D115" s="49">
        <v>43.547765518302349</v>
      </c>
      <c r="E115" s="49">
        <v>46.384922876425669</v>
      </c>
      <c r="F115" s="49">
        <v>53.144419870394962</v>
      </c>
      <c r="G115" s="49">
        <v>45.013008393437026</v>
      </c>
      <c r="H115" s="49">
        <v>45.473574788946898</v>
      </c>
      <c r="I115" s="49">
        <v>45.770224261999999</v>
      </c>
      <c r="J115" s="49">
        <v>46.440677022426193</v>
      </c>
      <c r="K115" s="49">
        <v>52.659493986492286</v>
      </c>
      <c r="L115" s="49">
        <v>44.07729071459724</v>
      </c>
      <c r="M115" s="49">
        <v>47.779530363262822</v>
      </c>
      <c r="N115" s="19"/>
      <c r="P115" s="8">
        <v>80</v>
      </c>
      <c r="Q115" s="49">
        <v>92.369244489454687</v>
      </c>
      <c r="R115" s="49">
        <v>91.177839923475346</v>
      </c>
      <c r="S115" s="49">
        <v>94.485681078300146</v>
      </c>
      <c r="T115" s="49">
        <v>89.608592148469469</v>
      </c>
      <c r="U115" s="49">
        <v>90.988918318962078</v>
      </c>
      <c r="V115" s="49">
        <v>95.23819189679611</v>
      </c>
    </row>
    <row r="116" spans="3:22" x14ac:dyDescent="0.2">
      <c r="C116" s="8">
        <v>100</v>
      </c>
      <c r="D116" s="50">
        <v>40.440552352079706</v>
      </c>
      <c r="E116" s="50">
        <v>40.093932216049083</v>
      </c>
      <c r="F116" s="50">
        <v>47.866349387490452</v>
      </c>
      <c r="G116" s="50">
        <v>39.937776132465181</v>
      </c>
      <c r="H116" s="50">
        <v>40.2882660350161</v>
      </c>
      <c r="I116" s="50">
        <v>49.333216504879999</v>
      </c>
      <c r="J116" s="50">
        <v>50.34933216504875</v>
      </c>
      <c r="K116" s="50">
        <v>55.175745926704877</v>
      </c>
      <c r="L116" s="50">
        <v>43.953334015781437</v>
      </c>
      <c r="M116" s="50">
        <v>48.494942344051843</v>
      </c>
      <c r="P116" s="8">
        <v>100</v>
      </c>
      <c r="Q116" s="50">
        <v>90.73211324304566</v>
      </c>
      <c r="R116" s="50">
        <v>87.450091501628378</v>
      </c>
      <c r="S116" s="50">
        <v>83.974256593539081</v>
      </c>
      <c r="T116" s="50">
        <v>82.663077023455315</v>
      </c>
      <c r="U116" s="50">
        <v>86.697595133250488</v>
      </c>
      <c r="V116" s="50">
        <v>85.933895637374277</v>
      </c>
    </row>
    <row r="117" spans="3:22" x14ac:dyDescent="0.2">
      <c r="C117" s="8">
        <v>125</v>
      </c>
      <c r="D117" s="49">
        <v>43.669164497460891</v>
      </c>
      <c r="E117" s="49">
        <v>45.064681736290034</v>
      </c>
      <c r="F117" s="49">
        <v>48.94335843418834</v>
      </c>
      <c r="G117" s="49">
        <v>44.020417847160502</v>
      </c>
      <c r="H117" s="49">
        <v>44.913541959917701</v>
      </c>
      <c r="I117" s="49">
        <v>46.418503710000003</v>
      </c>
      <c r="J117" s="49">
        <v>44.283214185037089</v>
      </c>
      <c r="K117" s="49">
        <v>48.658535251417042</v>
      </c>
      <c r="L117" s="49">
        <v>48.279019490954944</v>
      </c>
      <c r="M117" s="49">
        <v>46.58019232726263</v>
      </c>
      <c r="P117" s="8">
        <v>125</v>
      </c>
      <c r="Q117" s="49">
        <v>92.442844806757194</v>
      </c>
      <c r="R117" s="49">
        <v>89.292771875116813</v>
      </c>
      <c r="S117" s="49">
        <v>85</v>
      </c>
      <c r="T117" s="49">
        <v>86.347007722917056</v>
      </c>
      <c r="U117" s="49">
        <v>89.394926264837125</v>
      </c>
      <c r="V117" s="49">
        <v>86.416556578834886</v>
      </c>
    </row>
    <row r="118" spans="3:22" x14ac:dyDescent="0.2">
      <c r="C118" s="8">
        <v>160</v>
      </c>
      <c r="D118" s="50">
        <v>49.856582698537345</v>
      </c>
      <c r="E118" s="50">
        <v>44.836880876662882</v>
      </c>
      <c r="F118" s="50">
        <v>52.650815357362603</v>
      </c>
      <c r="G118" s="50">
        <v>46.836867755822723</v>
      </c>
      <c r="H118" s="50">
        <v>50.1847932879434</v>
      </c>
      <c r="I118" s="50">
        <v>47.23137173648</v>
      </c>
      <c r="J118" s="50">
        <v>44.992313717364802</v>
      </c>
      <c r="K118" s="50">
        <v>52.925270732744828</v>
      </c>
      <c r="L118" s="50">
        <v>48.999664173311402</v>
      </c>
      <c r="M118" s="50">
        <v>49.935749118354138</v>
      </c>
      <c r="P118" s="8">
        <v>160</v>
      </c>
      <c r="Q118" s="50">
        <v>99.545118095283215</v>
      </c>
      <c r="R118" s="50">
        <v>96.985328411485597</v>
      </c>
      <c r="S118" s="50">
        <v>96.495622789145202</v>
      </c>
      <c r="T118" s="50">
        <v>99.300112653826858</v>
      </c>
      <c r="U118" s="50">
        <v>99.422615374555036</v>
      </c>
      <c r="V118" s="50">
        <v>100.86197477244514</v>
      </c>
    </row>
    <row r="119" spans="3:22" x14ac:dyDescent="0.2">
      <c r="C119" s="8">
        <v>200</v>
      </c>
      <c r="D119" s="49">
        <v>49.197140049578536</v>
      </c>
      <c r="E119" s="49">
        <v>48.554852380820201</v>
      </c>
      <c r="F119" s="49">
        <v>46.149956238292773</v>
      </c>
      <c r="G119" s="49">
        <v>47.231949906088445</v>
      </c>
      <c r="H119" s="49">
        <v>49.852374523108097</v>
      </c>
      <c r="I119" s="49">
        <v>48.474540747399999</v>
      </c>
      <c r="J119" s="49">
        <v>47.178474540747381</v>
      </c>
      <c r="K119" s="49">
        <v>52.671948284451574</v>
      </c>
      <c r="L119" s="49">
        <v>51.244709385251539</v>
      </c>
      <c r="M119" s="49">
        <v>49.59768388098496</v>
      </c>
      <c r="P119" s="8">
        <v>200</v>
      </c>
      <c r="Q119" s="49">
        <v>107.2282868578918</v>
      </c>
      <c r="R119" s="49">
        <v>101</v>
      </c>
      <c r="S119" s="49">
        <v>97</v>
      </c>
      <c r="T119" s="49">
        <v>103.11973244191554</v>
      </c>
      <c r="U119" s="49">
        <v>105.17400964990367</v>
      </c>
      <c r="V119" s="49">
        <v>99.540568205654679</v>
      </c>
    </row>
    <row r="120" spans="3:22" x14ac:dyDescent="0.2">
      <c r="C120" s="8">
        <v>250</v>
      </c>
      <c r="D120" s="50">
        <v>46.38404324517321</v>
      </c>
      <c r="E120" s="50">
        <v>48.352154200804151</v>
      </c>
      <c r="F120" s="50">
        <v>46.765037095615632</v>
      </c>
      <c r="G120" s="50">
        <v>49.785343792396525</v>
      </c>
      <c r="H120" s="50">
        <v>47.600968064299998</v>
      </c>
      <c r="I120" s="50">
        <v>48.424177836360002</v>
      </c>
      <c r="J120" s="50">
        <v>47.344241778363561</v>
      </c>
      <c r="K120" s="50">
        <v>45.855430118447842</v>
      </c>
      <c r="L120" s="50">
        <v>52.076042760460119</v>
      </c>
      <c r="M120" s="50">
        <v>49.631548494189353</v>
      </c>
      <c r="P120" s="8">
        <v>250</v>
      </c>
      <c r="Q120" s="50">
        <v>106.92322936810945</v>
      </c>
      <c r="R120" s="50">
        <v>103.1653101067794</v>
      </c>
      <c r="S120" s="50">
        <v>101.55784447957627</v>
      </c>
      <c r="T120" s="50">
        <v>106.91698425121682</v>
      </c>
      <c r="U120" s="50">
        <v>106.92010680966314</v>
      </c>
      <c r="V120" s="50">
        <v>103.68640765363438</v>
      </c>
    </row>
    <row r="121" spans="3:22" x14ac:dyDescent="0.2">
      <c r="C121" s="8">
        <v>315</v>
      </c>
      <c r="D121" s="49">
        <v>46.119253717251681</v>
      </c>
      <c r="E121" s="49">
        <v>47.32103318018271</v>
      </c>
      <c r="F121" s="49">
        <v>47.796637981613245</v>
      </c>
      <c r="G121" s="49">
        <v>48.833889067670171</v>
      </c>
      <c r="H121" s="49">
        <v>47.9324555684505</v>
      </c>
      <c r="I121" s="49">
        <v>49.025640000000003</v>
      </c>
      <c r="J121" s="49">
        <v>47.296763402564018</v>
      </c>
      <c r="K121" s="49">
        <v>49.854637980347263</v>
      </c>
      <c r="L121" s="49">
        <v>50.684732263065079</v>
      </c>
      <c r="M121" s="49">
        <v>48.10710220564205</v>
      </c>
      <c r="P121" s="8">
        <v>315</v>
      </c>
      <c r="Q121" s="49">
        <v>105.36603185467254</v>
      </c>
      <c r="R121" s="49">
        <v>103.24908775804145</v>
      </c>
      <c r="S121" s="49">
        <v>99.490227732853484</v>
      </c>
      <c r="T121" s="49">
        <v>104.075606607521</v>
      </c>
      <c r="U121" s="49">
        <v>104.72081923109677</v>
      </c>
      <c r="V121" s="49">
        <v>102.56141022338286</v>
      </c>
    </row>
    <row r="122" spans="3:22" x14ac:dyDescent="0.2">
      <c r="C122" s="8">
        <v>400</v>
      </c>
      <c r="D122" s="50">
        <v>45.746595083777585</v>
      </c>
      <c r="E122" s="50">
        <v>47.248245783731448</v>
      </c>
      <c r="F122" s="50">
        <v>47.31865305891386</v>
      </c>
      <c r="G122" s="50">
        <v>49.996833263888639</v>
      </c>
      <c r="H122" s="50">
        <v>48.359957429438701</v>
      </c>
      <c r="I122" s="50">
        <v>45.379249447200003</v>
      </c>
      <c r="J122" s="50">
        <v>46.453792494471976</v>
      </c>
      <c r="K122" s="50">
        <v>44.029323435786118</v>
      </c>
      <c r="L122" s="50">
        <v>46.715450053539094</v>
      </c>
      <c r="M122" s="50">
        <v>44.069432539878321</v>
      </c>
      <c r="P122" s="8">
        <v>400</v>
      </c>
      <c r="Q122" s="50">
        <v>109.1</v>
      </c>
      <c r="R122" s="50">
        <v>103.50771377052416</v>
      </c>
      <c r="S122" s="50">
        <v>104.298273473099</v>
      </c>
      <c r="T122" s="50">
        <v>102.88817041894896</v>
      </c>
      <c r="U122" s="50">
        <v>106.43968519997503</v>
      </c>
      <c r="V122" s="50">
        <v>103.35808281576372</v>
      </c>
    </row>
    <row r="123" spans="3:22" x14ac:dyDescent="0.2">
      <c r="C123" s="8">
        <v>500</v>
      </c>
      <c r="D123" s="49">
        <v>43.664276432635177</v>
      </c>
      <c r="E123" s="49">
        <v>45.477282030362609</v>
      </c>
      <c r="F123" s="49">
        <v>43.729847468852078</v>
      </c>
      <c r="G123" s="49">
        <v>44.045591352602415</v>
      </c>
      <c r="H123" s="49">
        <v>44.619534141138999</v>
      </c>
      <c r="I123" s="49">
        <v>41.073362101199997</v>
      </c>
      <c r="J123" s="49">
        <v>41.339073362101196</v>
      </c>
      <c r="K123" s="49">
        <v>42.294245307288399</v>
      </c>
      <c r="L123" s="49">
        <v>43.261465628170271</v>
      </c>
      <c r="M123" s="49">
        <v>40.917712403859021</v>
      </c>
      <c r="P123" s="8">
        <v>500</v>
      </c>
      <c r="Q123" s="49">
        <v>102.8</v>
      </c>
      <c r="R123" s="49">
        <v>105.1</v>
      </c>
      <c r="S123" s="49">
        <v>104.4</v>
      </c>
      <c r="T123" s="49">
        <v>104.01217818371708</v>
      </c>
      <c r="U123" s="49">
        <v>103.39821109881265</v>
      </c>
      <c r="V123" s="49">
        <v>101.39967217703982</v>
      </c>
    </row>
    <row r="124" spans="3:22" x14ac:dyDescent="0.2">
      <c r="C124" s="8">
        <v>630</v>
      </c>
      <c r="D124" s="50">
        <v>40.138714694265111</v>
      </c>
      <c r="E124" s="50">
        <v>40.234641031170568</v>
      </c>
      <c r="F124" s="50">
        <v>39.179974432855211</v>
      </c>
      <c r="G124" s="50">
        <v>39.059790027042141</v>
      </c>
      <c r="H124" s="50">
        <v>40.113702421781497</v>
      </c>
      <c r="I124" s="50">
        <v>37.768346707100001</v>
      </c>
      <c r="J124" s="50">
        <v>38.122768346707105</v>
      </c>
      <c r="K124" s="50">
        <v>42.540409966207392</v>
      </c>
      <c r="L124" s="50">
        <v>40.471438828255366</v>
      </c>
      <c r="M124" s="50">
        <v>37.48166231081526</v>
      </c>
      <c r="P124" s="8">
        <v>630</v>
      </c>
      <c r="Q124" s="50">
        <v>105.7688500612302</v>
      </c>
      <c r="R124" s="50">
        <v>102.77670731977983</v>
      </c>
      <c r="S124" s="50">
        <v>99.917388872460563</v>
      </c>
      <c r="T124" s="50">
        <v>103.58723338370685</v>
      </c>
      <c r="U124" s="50">
        <v>104.67804172246852</v>
      </c>
      <c r="V124" s="50">
        <v>103.32793961514982</v>
      </c>
    </row>
    <row r="125" spans="3:22" x14ac:dyDescent="0.2">
      <c r="C125" s="8">
        <v>800</v>
      </c>
      <c r="D125" s="49">
        <v>34.882077393247123</v>
      </c>
      <c r="E125" s="49">
        <v>34.694387385185728</v>
      </c>
      <c r="F125" s="49">
        <v>35.698718642453464</v>
      </c>
      <c r="G125" s="49">
        <v>35.781894111102993</v>
      </c>
      <c r="H125" s="49">
        <v>34.866004520398</v>
      </c>
      <c r="I125" s="49">
        <v>34.826915999999997</v>
      </c>
      <c r="J125" s="49">
        <v>34.172304282691563</v>
      </c>
      <c r="K125" s="49">
        <v>34.057442882796529</v>
      </c>
      <c r="L125" s="49">
        <v>33.776126894904571</v>
      </c>
      <c r="M125" s="49">
        <v>35.075102274799065</v>
      </c>
      <c r="P125" s="8">
        <v>800</v>
      </c>
      <c r="Q125" s="49">
        <v>104.92402591561913</v>
      </c>
      <c r="R125" s="49">
        <v>99.7</v>
      </c>
      <c r="S125" s="49">
        <v>101.2015238289148</v>
      </c>
      <c r="T125" s="49">
        <v>103.90996777041144</v>
      </c>
      <c r="U125" s="49">
        <v>104.41699684301528</v>
      </c>
      <c r="V125" s="49">
        <v>101.54321770345904</v>
      </c>
    </row>
    <row r="126" spans="3:22" x14ac:dyDescent="0.2">
      <c r="C126" s="8">
        <v>1000</v>
      </c>
      <c r="D126" s="50">
        <v>33.86019726653597</v>
      </c>
      <c r="E126" s="50">
        <v>33.280853203847897</v>
      </c>
      <c r="F126" s="50">
        <v>32.614597193767572</v>
      </c>
      <c r="G126" s="50">
        <v>32.474585788574785</v>
      </c>
      <c r="H126" s="50">
        <v>34.715227848034701</v>
      </c>
      <c r="I126" s="50">
        <v>32.103658079799999</v>
      </c>
      <c r="J126" s="50">
        <v>34.093103658079755</v>
      </c>
      <c r="K126" s="50">
        <v>32.835450313608192</v>
      </c>
      <c r="L126" s="50">
        <v>32.477744883935429</v>
      </c>
      <c r="M126" s="50">
        <v>31.746637181468611</v>
      </c>
      <c r="P126" s="8">
        <v>1000</v>
      </c>
      <c r="Q126" s="50">
        <v>100.1</v>
      </c>
      <c r="R126" s="50">
        <v>100.17212704745207</v>
      </c>
      <c r="S126" s="50">
        <v>99.492687272526439</v>
      </c>
      <c r="T126" s="50">
        <v>100.39587637862945</v>
      </c>
      <c r="U126" s="50">
        <v>100.34638628370422</v>
      </c>
      <c r="V126" s="50">
        <v>100.78417875106622</v>
      </c>
    </row>
    <row r="127" spans="3:22" x14ac:dyDescent="0.2">
      <c r="C127" s="8">
        <v>1250</v>
      </c>
      <c r="D127" s="49">
        <v>31.629199193484748</v>
      </c>
      <c r="E127" s="49">
        <v>31.00363559080354</v>
      </c>
      <c r="F127" s="49">
        <v>31.550903448939092</v>
      </c>
      <c r="G127" s="49">
        <v>31.388432607924749</v>
      </c>
      <c r="H127" s="49">
        <v>31.344964570399998</v>
      </c>
      <c r="I127" s="49">
        <v>29.342353223</v>
      </c>
      <c r="J127" s="49">
        <v>30.527234235322258</v>
      </c>
      <c r="K127" s="49">
        <v>31.173124628513339</v>
      </c>
      <c r="L127" s="49">
        <v>30.843717634330677</v>
      </c>
      <c r="M127" s="49">
        <v>30.072315121359953</v>
      </c>
      <c r="P127" s="8">
        <v>1250</v>
      </c>
      <c r="Q127" s="49">
        <v>99.003216255876353</v>
      </c>
      <c r="R127" s="49">
        <v>98.458214163894283</v>
      </c>
      <c r="S127" s="49">
        <v>98.852766441686398</v>
      </c>
      <c r="T127" s="49">
        <v>98.561943775030699</v>
      </c>
      <c r="U127" s="49">
        <v>98.782580015453533</v>
      </c>
      <c r="V127" s="49">
        <v>102.0438783538557</v>
      </c>
    </row>
    <row r="128" spans="3:22" x14ac:dyDescent="0.2">
      <c r="C128" s="8">
        <v>1600</v>
      </c>
      <c r="D128" s="50">
        <v>30.608583594436077</v>
      </c>
      <c r="E128" s="50">
        <v>30.305509881770359</v>
      </c>
      <c r="F128" s="50">
        <v>31.002540823581821</v>
      </c>
      <c r="G128" s="50">
        <v>31.202999641764926</v>
      </c>
      <c r="H128" s="50">
        <v>30.475523767060601</v>
      </c>
      <c r="I128" s="50">
        <v>30.593311778804001</v>
      </c>
      <c r="J128" s="50">
        <v>29.759331177880433</v>
      </c>
      <c r="K128" s="50">
        <v>31.212210856513284</v>
      </c>
      <c r="L128" s="50">
        <v>29.737811962609154</v>
      </c>
      <c r="M128" s="50">
        <v>29.831323773290336</v>
      </c>
      <c r="P128" s="8">
        <v>1600</v>
      </c>
      <c r="Q128" s="50">
        <v>98.682000203240193</v>
      </c>
      <c r="R128" s="50">
        <v>98.5</v>
      </c>
      <c r="S128" s="50">
        <v>97.814981934232563</v>
      </c>
      <c r="T128" s="50">
        <v>99.178125079933793</v>
      </c>
      <c r="U128" s="50">
        <v>98.930062641587</v>
      </c>
      <c r="V128" s="50">
        <v>98.503328325179055</v>
      </c>
    </row>
    <row r="129" spans="3:22" x14ac:dyDescent="0.2">
      <c r="C129" s="8">
        <v>2000</v>
      </c>
      <c r="D129" s="49">
        <v>29.936311913960015</v>
      </c>
      <c r="E129" s="49">
        <v>29.223899611344574</v>
      </c>
      <c r="F129" s="49">
        <v>31.111046713900706</v>
      </c>
      <c r="G129" s="49">
        <v>29.481998565574838</v>
      </c>
      <c r="H129" s="49">
        <v>29.411988983880001</v>
      </c>
      <c r="I129" s="49">
        <v>27.92109660973</v>
      </c>
      <c r="J129" s="49">
        <v>28.869210966097306</v>
      </c>
      <c r="K129" s="49">
        <v>30.105267587568836</v>
      </c>
      <c r="L129" s="49">
        <v>29.403203188331382</v>
      </c>
      <c r="M129" s="49">
        <v>29.074443906160901</v>
      </c>
      <c r="P129" s="8">
        <v>2000</v>
      </c>
      <c r="Q129" s="49">
        <v>99</v>
      </c>
      <c r="R129" s="49">
        <v>97.724535548744015</v>
      </c>
      <c r="S129" s="49">
        <v>97.594419629998029</v>
      </c>
      <c r="T129" s="49">
        <v>98.396718937844398</v>
      </c>
      <c r="U129" s="49">
        <v>98.575035522851351</v>
      </c>
      <c r="V129" s="49">
        <v>96.452286049709443</v>
      </c>
    </row>
    <row r="130" spans="3:22" x14ac:dyDescent="0.2">
      <c r="C130" s="8">
        <v>2500</v>
      </c>
      <c r="D130" s="50">
        <v>32.231519695538196</v>
      </c>
      <c r="E130" s="50">
        <v>31.050124971579152</v>
      </c>
      <c r="F130" s="50">
        <v>34.790471178029087</v>
      </c>
      <c r="G130" s="50">
        <v>32.175951785351856</v>
      </c>
      <c r="H130" s="50">
        <v>32.231999999999999</v>
      </c>
      <c r="I130" s="50">
        <v>30.2260898764</v>
      </c>
      <c r="J130" s="50">
        <v>31.399226089876365</v>
      </c>
      <c r="K130" s="50">
        <v>32.501741596939688</v>
      </c>
      <c r="L130" s="50">
        <v>30.684311031600803</v>
      </c>
      <c r="M130" s="50">
        <v>30.350345223283814</v>
      </c>
      <c r="P130" s="8">
        <v>2500</v>
      </c>
      <c r="Q130" s="50">
        <v>100.78932798715462</v>
      </c>
      <c r="R130" s="50">
        <v>98.187275892923893</v>
      </c>
      <c r="S130" s="50">
        <v>99.094359081206605</v>
      </c>
      <c r="T130" s="50">
        <v>99.742124587827135</v>
      </c>
      <c r="U130" s="50">
        <v>100.26572628749088</v>
      </c>
      <c r="V130" s="50">
        <v>100.09747297757019</v>
      </c>
    </row>
    <row r="131" spans="3:22" x14ac:dyDescent="0.2">
      <c r="C131" s="8">
        <v>3150</v>
      </c>
      <c r="D131" s="49">
        <v>34.293880209993958</v>
      </c>
      <c r="E131" s="49">
        <v>33.302722677271419</v>
      </c>
      <c r="F131" s="49">
        <v>37.103116265151769</v>
      </c>
      <c r="G131" s="49">
        <v>34.344327733956412</v>
      </c>
      <c r="H131" s="49">
        <v>33.291150033759997</v>
      </c>
      <c r="I131" s="49">
        <v>31.66411879356</v>
      </c>
      <c r="J131" s="49">
        <v>32.336641187935577</v>
      </c>
      <c r="K131" s="49">
        <v>33.919443529451478</v>
      </c>
      <c r="L131" s="49">
        <v>31.777349029466944</v>
      </c>
      <c r="M131" s="49">
        <v>31.372012934831545</v>
      </c>
      <c r="P131" s="8">
        <v>3150</v>
      </c>
      <c r="Q131" s="49">
        <v>98.6</v>
      </c>
      <c r="R131" s="49">
        <v>97.1</v>
      </c>
      <c r="S131" s="49">
        <v>97.103584768656432</v>
      </c>
      <c r="T131" s="49">
        <v>97.863061003867884</v>
      </c>
      <c r="U131" s="49">
        <v>98.16687568628879</v>
      </c>
      <c r="V131" s="49">
        <v>96.438454574454298</v>
      </c>
    </row>
    <row r="132" spans="3:22" x14ac:dyDescent="0.2">
      <c r="C132" s="8">
        <v>4000</v>
      </c>
      <c r="D132" s="50">
        <v>30.857711596275443</v>
      </c>
      <c r="E132" s="50">
        <v>29.862953042307645</v>
      </c>
      <c r="F132" s="50">
        <v>33.315223609321606</v>
      </c>
      <c r="G132" s="50">
        <v>30.979768031830034</v>
      </c>
      <c r="H132" s="50">
        <v>30.496679015821002</v>
      </c>
      <c r="I132" s="50">
        <v>30.010079944200001</v>
      </c>
      <c r="J132" s="50">
        <v>29.327010079944237</v>
      </c>
      <c r="K132" s="50">
        <v>30.376373178068523</v>
      </c>
      <c r="L132" s="50">
        <v>29.122741973284377</v>
      </c>
      <c r="M132" s="50">
        <v>29.101989787763731</v>
      </c>
      <c r="P132" s="8">
        <v>4000</v>
      </c>
      <c r="Q132" s="50">
        <v>95.691542539381444</v>
      </c>
      <c r="R132" s="50">
        <v>93.207997124046798</v>
      </c>
      <c r="S132" s="50">
        <v>92.94559636283897</v>
      </c>
      <c r="T132" s="50">
        <v>94.296003621799912</v>
      </c>
      <c r="U132" s="50">
        <v>94.993773080590671</v>
      </c>
      <c r="V132" s="50">
        <v>94.686570934292021</v>
      </c>
    </row>
    <row r="133" spans="3:22" x14ac:dyDescent="0.2">
      <c r="C133" s="8">
        <v>5000</v>
      </c>
      <c r="D133" s="49">
        <v>29.665527843717317</v>
      </c>
      <c r="E133" s="49">
        <v>29.359994734432682</v>
      </c>
      <c r="F133" s="49">
        <v>30.563504450583043</v>
      </c>
      <c r="G133" s="49">
        <v>29.670801123830319</v>
      </c>
      <c r="H133" s="49">
        <v>30.297795199999999</v>
      </c>
      <c r="I133" s="49">
        <v>29.449954081830001</v>
      </c>
      <c r="J133" s="49">
        <v>29.23449954081828</v>
      </c>
      <c r="K133" s="49">
        <v>29.510421479670573</v>
      </c>
      <c r="L133" s="49">
        <v>29.300081356752266</v>
      </c>
      <c r="M133" s="49">
        <v>29.243134520378227</v>
      </c>
      <c r="P133" s="8">
        <v>5000</v>
      </c>
      <c r="Q133" s="49">
        <v>94.5</v>
      </c>
      <c r="R133" s="49">
        <v>91.89495202023447</v>
      </c>
      <c r="S133" s="49">
        <v>91.533914328302004</v>
      </c>
      <c r="T133" s="49">
        <v>93.380406178973118</v>
      </c>
      <c r="U133" s="49">
        <v>93.37429593024055</v>
      </c>
      <c r="V133" s="49">
        <v>92.640858825335158</v>
      </c>
    </row>
    <row r="137" spans="3:22" x14ac:dyDescent="0.2">
      <c r="C137" s="146" t="s">
        <v>109</v>
      </c>
      <c r="D137" s="146"/>
      <c r="E137" s="146"/>
      <c r="F137" s="146"/>
      <c r="G137" s="146"/>
      <c r="H137" s="146"/>
    </row>
    <row r="138" spans="3:22" x14ac:dyDescent="0.2">
      <c r="C138" s="1" t="s">
        <v>20</v>
      </c>
      <c r="D138" s="7" t="s">
        <v>110</v>
      </c>
      <c r="E138" s="7" t="s">
        <v>51</v>
      </c>
      <c r="F138" s="7" t="s">
        <v>52</v>
      </c>
      <c r="G138" s="6" t="s">
        <v>53</v>
      </c>
      <c r="H138" s="7" t="s">
        <v>111</v>
      </c>
    </row>
    <row r="139" spans="3:22" x14ac:dyDescent="0.2">
      <c r="C139" s="8">
        <v>50</v>
      </c>
      <c r="D139" s="52">
        <v>28.146715008355432</v>
      </c>
      <c r="E139" s="52">
        <v>28.254371115550903</v>
      </c>
      <c r="F139" s="52">
        <v>30.472388961003034</v>
      </c>
      <c r="G139" s="52">
        <v>26.630519956313577</v>
      </c>
      <c r="H139" s="52">
        <v>28.431945418000002</v>
      </c>
      <c r="I139" s="35">
        <f>AVERAGE(D139:H139)</f>
        <v>28.387188091844592</v>
      </c>
    </row>
    <row r="140" spans="3:22" x14ac:dyDescent="0.2">
      <c r="C140" s="8">
        <v>63</v>
      </c>
      <c r="D140" s="51">
        <v>24.144270722382988</v>
      </c>
      <c r="E140" s="51">
        <v>20.958510761675626</v>
      </c>
      <c r="F140" s="51">
        <v>22.267898348691833</v>
      </c>
      <c r="G140" s="51">
        <v>20.834531205503037</v>
      </c>
      <c r="H140" s="51">
        <v>22.058936862420001</v>
      </c>
      <c r="I140" s="35">
        <f t="shared" ref="I140:I159" si="0">AVERAGE(D140:H140)</f>
        <v>22.052829580134695</v>
      </c>
    </row>
    <row r="141" spans="3:22" x14ac:dyDescent="0.2">
      <c r="C141" s="8">
        <v>80</v>
      </c>
      <c r="D141" s="52">
        <v>22.944642677805781</v>
      </c>
      <c r="E141" s="52">
        <v>20.581794400146041</v>
      </c>
      <c r="F141" s="52">
        <v>20.676143210844369</v>
      </c>
      <c r="G141" s="52">
        <v>20.268912664618064</v>
      </c>
      <c r="H141" s="52">
        <v>19.9661818936953</v>
      </c>
      <c r="I141" s="35">
        <f t="shared" si="0"/>
        <v>20.887534969421914</v>
      </c>
    </row>
    <row r="142" spans="3:22" x14ac:dyDescent="0.2">
      <c r="C142" s="8">
        <v>100</v>
      </c>
      <c r="D142" s="51">
        <v>22.436116037805096</v>
      </c>
      <c r="E142" s="51">
        <v>21.080927309782609</v>
      </c>
      <c r="F142" s="51">
        <v>21.030046320328751</v>
      </c>
      <c r="G142" s="51">
        <v>20.926107463060561</v>
      </c>
      <c r="H142" s="51">
        <v>20.111462289528141</v>
      </c>
      <c r="I142" s="35">
        <f t="shared" si="0"/>
        <v>21.116931884101028</v>
      </c>
    </row>
    <row r="143" spans="3:22" x14ac:dyDescent="0.2">
      <c r="C143" s="8">
        <v>125</v>
      </c>
      <c r="D143" s="52">
        <v>19.509058193443646</v>
      </c>
      <c r="E143" s="52">
        <v>21.410328520668877</v>
      </c>
      <c r="F143" s="52">
        <v>20.736984988381497</v>
      </c>
      <c r="G143" s="52">
        <v>19.237478460836353</v>
      </c>
      <c r="H143" s="52">
        <v>19.830534385260499</v>
      </c>
      <c r="I143" s="35">
        <f t="shared" si="0"/>
        <v>20.144876909718175</v>
      </c>
    </row>
    <row r="144" spans="3:22" x14ac:dyDescent="0.2">
      <c r="C144" s="8">
        <v>160</v>
      </c>
      <c r="D144" s="51">
        <v>23.522845717037427</v>
      </c>
      <c r="E144" s="51">
        <v>20.707785774544242</v>
      </c>
      <c r="F144" s="51">
        <v>22.40073432125012</v>
      </c>
      <c r="G144" s="51">
        <v>23.041133113912824</v>
      </c>
      <c r="H144" s="51">
        <v>22.548548216807799</v>
      </c>
      <c r="I144" s="35">
        <f t="shared" si="0"/>
        <v>22.444209428710483</v>
      </c>
    </row>
    <row r="145" spans="3:9" x14ac:dyDescent="0.2">
      <c r="C145" s="8">
        <v>200</v>
      </c>
      <c r="D145" s="52">
        <v>21.681263926761602</v>
      </c>
      <c r="E145" s="52">
        <v>20.671427330533088</v>
      </c>
      <c r="F145" s="52">
        <v>21.568157594720653</v>
      </c>
      <c r="G145" s="52">
        <v>21.681998933728615</v>
      </c>
      <c r="H145" s="52">
        <v>20.544889454850001</v>
      </c>
      <c r="I145" s="35">
        <f t="shared" si="0"/>
        <v>21.22954744811879</v>
      </c>
    </row>
    <row r="146" spans="3:9" x14ac:dyDescent="0.2">
      <c r="C146" s="8">
        <v>250</v>
      </c>
      <c r="D146" s="51">
        <v>25.70778617048575</v>
      </c>
      <c r="E146" s="51">
        <v>20.990640870614904</v>
      </c>
      <c r="F146" s="51">
        <v>21.298982481751899</v>
      </c>
      <c r="G146" s="51">
        <v>25.777995447048276</v>
      </c>
      <c r="H146" s="51">
        <v>21.121295919000001</v>
      </c>
      <c r="I146" s="35">
        <f t="shared" si="0"/>
        <v>22.97934017778017</v>
      </c>
    </row>
    <row r="147" spans="3:9" x14ac:dyDescent="0.2">
      <c r="C147" s="8">
        <v>315</v>
      </c>
      <c r="D147" s="52">
        <v>24.974156950034349</v>
      </c>
      <c r="E147" s="52">
        <v>20.802814847605241</v>
      </c>
      <c r="F147" s="52">
        <v>21.225326991317296</v>
      </c>
      <c r="G147" s="52">
        <v>24.654969957401072</v>
      </c>
      <c r="H147" s="52">
        <v>21.4036585346499</v>
      </c>
      <c r="I147" s="35">
        <f t="shared" si="0"/>
        <v>22.612185456201576</v>
      </c>
    </row>
    <row r="148" spans="3:9" x14ac:dyDescent="0.2">
      <c r="C148" s="8">
        <v>400</v>
      </c>
      <c r="D148" s="51">
        <v>24.777384197010715</v>
      </c>
      <c r="E148" s="51">
        <v>21.34892895832154</v>
      </c>
      <c r="F148" s="51">
        <v>21.294076292165961</v>
      </c>
      <c r="G148" s="51">
        <v>24.688685799350573</v>
      </c>
      <c r="H148" s="51">
        <v>21.201757605512039</v>
      </c>
      <c r="I148" s="35">
        <f t="shared" si="0"/>
        <v>22.662166570472166</v>
      </c>
    </row>
    <row r="149" spans="3:9" x14ac:dyDescent="0.2">
      <c r="C149" s="8">
        <v>500</v>
      </c>
      <c r="D149" s="52">
        <v>25.759291455636617</v>
      </c>
      <c r="E149" s="52">
        <v>21.626016778070568</v>
      </c>
      <c r="F149" s="52">
        <v>21.8937600034036</v>
      </c>
      <c r="G149" s="52">
        <v>25.72086424774659</v>
      </c>
      <c r="H149" s="52">
        <v>21.712608980355704</v>
      </c>
      <c r="I149" s="35">
        <f t="shared" si="0"/>
        <v>23.342508293042613</v>
      </c>
    </row>
    <row r="150" spans="3:9" x14ac:dyDescent="0.2">
      <c r="C150" s="8">
        <v>630</v>
      </c>
      <c r="D150" s="51">
        <v>25.661214080511353</v>
      </c>
      <c r="E150" s="51">
        <v>22.256093413357572</v>
      </c>
      <c r="F150" s="51">
        <v>22.332684398353166</v>
      </c>
      <c r="G150" s="51">
        <v>25.552571351960321</v>
      </c>
      <c r="H150" s="51">
        <v>22.420569111530046</v>
      </c>
      <c r="I150" s="35">
        <f t="shared" si="0"/>
        <v>23.644626471142491</v>
      </c>
    </row>
    <row r="151" spans="3:9" x14ac:dyDescent="0.2">
      <c r="C151" s="8">
        <v>800</v>
      </c>
      <c r="D151" s="52">
        <v>25.206530265558779</v>
      </c>
      <c r="E151" s="52">
        <v>22.648568699325342</v>
      </c>
      <c r="F151" s="52">
        <v>22.657495194404696</v>
      </c>
      <c r="G151" s="52">
        <v>25.194272409384993</v>
      </c>
      <c r="H151" s="52">
        <v>23.830878852901598</v>
      </c>
      <c r="I151" s="35">
        <f t="shared" si="0"/>
        <v>23.907549084315082</v>
      </c>
    </row>
    <row r="152" spans="3:9" x14ac:dyDescent="0.2">
      <c r="C152" s="8">
        <v>1000</v>
      </c>
      <c r="D152" s="51">
        <v>25.584988590938593</v>
      </c>
      <c r="E152" s="51">
        <v>23.166978794595469</v>
      </c>
      <c r="F152" s="51">
        <v>23.237675766478016</v>
      </c>
      <c r="G152" s="51">
        <v>25.48027170512885</v>
      </c>
      <c r="H152" s="51">
        <v>23.145730824099999</v>
      </c>
      <c r="I152" s="35">
        <f t="shared" si="0"/>
        <v>24.123129136248188</v>
      </c>
    </row>
    <row r="153" spans="3:9" x14ac:dyDescent="0.2">
      <c r="C153" s="8">
        <v>1250</v>
      </c>
      <c r="D153" s="52">
        <v>25.655874015459048</v>
      </c>
      <c r="E153" s="52">
        <v>23.928737329400104</v>
      </c>
      <c r="F153" s="52">
        <v>23.947819154779246</v>
      </c>
      <c r="G153" s="52">
        <v>25.857837510020754</v>
      </c>
      <c r="H153" s="52">
        <v>24.82551266854</v>
      </c>
      <c r="I153" s="35">
        <f t="shared" si="0"/>
        <v>24.84315613563983</v>
      </c>
    </row>
    <row r="154" spans="3:9" x14ac:dyDescent="0.2">
      <c r="C154" s="8">
        <v>1600</v>
      </c>
      <c r="D154" s="51">
        <v>25.063784773832833</v>
      </c>
      <c r="E154" s="51">
        <v>24.551068043363266</v>
      </c>
      <c r="F154" s="51">
        <v>24.566846696457059</v>
      </c>
      <c r="G154" s="51">
        <v>25.148234624897949</v>
      </c>
      <c r="H154" s="51">
        <v>24.246064000000001</v>
      </c>
      <c r="I154" s="35">
        <f t="shared" si="0"/>
        <v>24.715199627710223</v>
      </c>
    </row>
    <row r="155" spans="3:9" x14ac:dyDescent="0.2">
      <c r="C155" s="8">
        <v>2000</v>
      </c>
      <c r="D155" s="52">
        <v>25.908405023462631</v>
      </c>
      <c r="E155" s="52">
        <v>25.51529498491886</v>
      </c>
      <c r="F155" s="52">
        <v>25.430607861811573</v>
      </c>
      <c r="G155" s="52">
        <v>25.965268263246511</v>
      </c>
      <c r="H155" s="52">
        <v>25.646910767806204</v>
      </c>
      <c r="I155" s="35">
        <f t="shared" si="0"/>
        <v>25.693297380249156</v>
      </c>
    </row>
    <row r="156" spans="3:9" x14ac:dyDescent="0.2">
      <c r="C156" s="8">
        <v>2500</v>
      </c>
      <c r="D156" s="51">
        <v>26.480220308490829</v>
      </c>
      <c r="E156" s="51">
        <v>26.36517041662465</v>
      </c>
      <c r="F156" s="51">
        <v>26.375993667787188</v>
      </c>
      <c r="G156" s="51">
        <v>26.432142459949347</v>
      </c>
      <c r="H156" s="51">
        <v>26.413129658328561</v>
      </c>
      <c r="I156" s="35">
        <f t="shared" si="0"/>
        <v>26.413331302236116</v>
      </c>
    </row>
    <row r="157" spans="3:9" x14ac:dyDescent="0.2">
      <c r="C157" s="8">
        <v>3150</v>
      </c>
      <c r="D157" s="52">
        <v>27.211833851010191</v>
      </c>
      <c r="E157" s="52">
        <v>26.968118914083583</v>
      </c>
      <c r="F157" s="52">
        <v>26.94540861862065</v>
      </c>
      <c r="G157" s="52">
        <v>27.119830727724199</v>
      </c>
      <c r="H157" s="52">
        <v>27.764226774819999</v>
      </c>
      <c r="I157" s="35">
        <f t="shared" si="0"/>
        <v>27.201883777251727</v>
      </c>
    </row>
    <row r="158" spans="3:9" x14ac:dyDescent="0.2">
      <c r="C158" s="8">
        <v>4000</v>
      </c>
      <c r="D158" s="51">
        <v>28.143697723064548</v>
      </c>
      <c r="E158" s="51">
        <v>28.001040560035889</v>
      </c>
      <c r="F158" s="51">
        <v>28.007041962626744</v>
      </c>
      <c r="G158" s="51">
        <v>28.055639217578968</v>
      </c>
      <c r="H158" s="51">
        <v>28.148194425386894</v>
      </c>
      <c r="I158" s="35">
        <f t="shared" si="0"/>
        <v>28.071122777738612</v>
      </c>
    </row>
    <row r="159" spans="3:9" x14ac:dyDescent="0.2">
      <c r="C159" s="8">
        <v>5000</v>
      </c>
      <c r="D159" s="52">
        <v>29.070110794765498</v>
      </c>
      <c r="E159" s="52">
        <v>28.912661262180496</v>
      </c>
      <c r="F159" s="52">
        <v>28.928048955331935</v>
      </c>
      <c r="G159" s="52">
        <v>29.046637214067978</v>
      </c>
      <c r="H159" s="52">
        <v>29.0160207939626</v>
      </c>
      <c r="I159" s="35">
        <f t="shared" si="0"/>
        <v>28.994695804061699</v>
      </c>
    </row>
    <row r="160" spans="3:9" x14ac:dyDescent="0.2">
      <c r="D160" s="35">
        <f>AVERAGE(D139:D159)</f>
        <v>25.123342403993028</v>
      </c>
      <c r="E160" s="35">
        <f t="shared" ref="E160:H160" si="1">AVERAGE(E139:E159)</f>
        <v>23.368918051685664</v>
      </c>
      <c r="F160" s="35">
        <f t="shared" si="1"/>
        <v>23.680672466214723</v>
      </c>
      <c r="G160" s="35">
        <f t="shared" si="1"/>
        <v>24.634090606356164</v>
      </c>
      <c r="H160" s="35">
        <f t="shared" si="1"/>
        <v>23.542336068450251</v>
      </c>
    </row>
    <row r="164" spans="3:5" ht="38" customHeight="1" x14ac:dyDescent="0.2">
      <c r="C164" s="27" t="s">
        <v>20</v>
      </c>
      <c r="D164" s="27" t="s">
        <v>112</v>
      </c>
      <c r="E164" s="27" t="s">
        <v>124</v>
      </c>
    </row>
    <row r="165" spans="3:5" x14ac:dyDescent="0.2">
      <c r="C165" s="53">
        <v>50</v>
      </c>
      <c r="D165" s="139">
        <v>1.29</v>
      </c>
      <c r="E165" s="54">
        <f>(0.16*2.08*4.5*2.5)/Table4[[#This Row],[Tiempo de reverberación (s)]]</f>
        <v>2.9023255813953495</v>
      </c>
    </row>
    <row r="166" spans="3:5" x14ac:dyDescent="0.2">
      <c r="C166" s="53">
        <v>63</v>
      </c>
      <c r="D166" s="140">
        <v>0.53</v>
      </c>
      <c r="E166" s="54">
        <f>(0.16*2.08*4.5*2.5)/Table4[[#This Row],[Tiempo de reverberación (s)]]</f>
        <v>7.0641509433962275</v>
      </c>
    </row>
    <row r="167" spans="3:5" x14ac:dyDescent="0.2">
      <c r="C167" s="53">
        <v>80</v>
      </c>
      <c r="D167" s="139">
        <v>0.52</v>
      </c>
      <c r="E167" s="54">
        <f>(0.16*2.08*4.5*2.5)/Table4[[#This Row],[Tiempo de reverberación (s)]]</f>
        <v>7.2000000000000011</v>
      </c>
    </row>
    <row r="168" spans="3:5" x14ac:dyDescent="0.2">
      <c r="C168" s="53">
        <v>100</v>
      </c>
      <c r="D168" s="140">
        <v>0.93</v>
      </c>
      <c r="E168" s="54">
        <f>(0.16*2.08*4.5*2.5)/Table4[[#This Row],[Tiempo de reverberación (s)]]</f>
        <v>4.0258064516129037</v>
      </c>
    </row>
    <row r="169" spans="3:5" x14ac:dyDescent="0.2">
      <c r="C169" s="53">
        <v>125</v>
      </c>
      <c r="D169" s="139">
        <v>0.6</v>
      </c>
      <c r="E169" s="54">
        <f>(0.16*2.08*4.5*2.5)/Table4[[#This Row],[Tiempo de reverberación (s)]]</f>
        <v>6.2400000000000011</v>
      </c>
    </row>
    <row r="170" spans="3:5" x14ac:dyDescent="0.2">
      <c r="C170" s="53">
        <v>160</v>
      </c>
      <c r="D170" s="140">
        <v>0.56000000000000005</v>
      </c>
      <c r="E170" s="54">
        <f>(0.16*2.08*4.5*2.5)/Table4[[#This Row],[Tiempo de reverberación (s)]]</f>
        <v>6.6857142857142859</v>
      </c>
    </row>
    <row r="171" spans="3:5" x14ac:dyDescent="0.2">
      <c r="C171" s="53">
        <v>200</v>
      </c>
      <c r="D171" s="139">
        <v>0.44</v>
      </c>
      <c r="E171" s="54">
        <f>(0.16*2.08*4.5*2.5)/Table4[[#This Row],[Tiempo de reverberación (s)]]</f>
        <v>8.5090909090909097</v>
      </c>
    </row>
    <row r="172" spans="3:5" x14ac:dyDescent="0.2">
      <c r="C172" s="53">
        <v>250</v>
      </c>
      <c r="D172" s="140">
        <v>0.52</v>
      </c>
      <c r="E172" s="54">
        <f>(0.16*2.08*4.5*2.5)/Table4[[#This Row],[Tiempo de reverberación (s)]]</f>
        <v>7.2000000000000011</v>
      </c>
    </row>
    <row r="173" spans="3:5" x14ac:dyDescent="0.2">
      <c r="C173" s="53">
        <v>315</v>
      </c>
      <c r="D173" s="139">
        <v>0.55000000000000004</v>
      </c>
      <c r="E173" s="54">
        <f>(0.16*2.08*4.5*2.5)/Table4[[#This Row],[Tiempo de reverberación (s)]]</f>
        <v>6.8072727272727276</v>
      </c>
    </row>
    <row r="174" spans="3:5" x14ac:dyDescent="0.2">
      <c r="C174" s="53">
        <v>400</v>
      </c>
      <c r="D174" s="140">
        <v>0.43</v>
      </c>
      <c r="E174" s="54">
        <f>(0.16*2.08*4.5*2.5)/Table4[[#This Row],[Tiempo de reverberación (s)]]</f>
        <v>8.7069767441860488</v>
      </c>
    </row>
    <row r="175" spans="3:5" x14ac:dyDescent="0.2">
      <c r="C175" s="53">
        <v>500</v>
      </c>
      <c r="D175" s="139">
        <v>0.38</v>
      </c>
      <c r="E175" s="54">
        <f>(0.16*2.08*4.5*2.5)/Table4[[#This Row],[Tiempo de reverberación (s)]]</f>
        <v>9.8526315789473706</v>
      </c>
    </row>
    <row r="176" spans="3:5" x14ac:dyDescent="0.2">
      <c r="C176" s="53">
        <v>630</v>
      </c>
      <c r="D176" s="140">
        <v>0.41</v>
      </c>
      <c r="E176" s="54">
        <f>(0.16*2.08*4.5*2.5)/Table4[[#This Row],[Tiempo de reverberación (s)]]</f>
        <v>9.1317073170731735</v>
      </c>
    </row>
    <row r="177" spans="3:14" x14ac:dyDescent="0.2">
      <c r="C177" s="53">
        <v>800</v>
      </c>
      <c r="D177" s="139">
        <v>0.44</v>
      </c>
      <c r="E177" s="54">
        <f>(0.16*2.08*4.5*2.5)/Table4[[#This Row],[Tiempo de reverberación (s)]]</f>
        <v>8.5090909090909097</v>
      </c>
    </row>
    <row r="178" spans="3:14" x14ac:dyDescent="0.2">
      <c r="C178" s="53">
        <v>1000</v>
      </c>
      <c r="D178" s="140">
        <v>0.5</v>
      </c>
      <c r="E178" s="54">
        <f>(0.16*2.08*4.5*2.5)/Table4[[#This Row],[Tiempo de reverberación (s)]]</f>
        <v>7.4880000000000013</v>
      </c>
    </row>
    <row r="179" spans="3:14" x14ac:dyDescent="0.2">
      <c r="C179" s="53">
        <v>1250</v>
      </c>
      <c r="D179" s="139">
        <v>0.44</v>
      </c>
      <c r="E179" s="54">
        <f>(0.16*2.08*4.5*2.5)/Table4[[#This Row],[Tiempo de reverberación (s)]]</f>
        <v>8.5090909090909097</v>
      </c>
    </row>
    <row r="180" spans="3:14" x14ac:dyDescent="0.2">
      <c r="C180" s="53">
        <v>1600</v>
      </c>
      <c r="D180" s="140">
        <v>0.45</v>
      </c>
      <c r="E180" s="54">
        <f>(0.16*2.08*4.5*2.5)/Table4[[#This Row],[Tiempo de reverberación (s)]]</f>
        <v>8.3200000000000021</v>
      </c>
    </row>
    <row r="181" spans="3:14" x14ac:dyDescent="0.2">
      <c r="C181" s="53">
        <v>2000</v>
      </c>
      <c r="D181" s="139">
        <v>0.43</v>
      </c>
      <c r="E181" s="54">
        <f>(0.16*2.08*4.5*2.5)/Table4[[#This Row],[Tiempo de reverberación (s)]]</f>
        <v>8.7069767441860488</v>
      </c>
    </row>
    <row r="182" spans="3:14" x14ac:dyDescent="0.2">
      <c r="C182" s="53">
        <v>2500</v>
      </c>
      <c r="D182" s="140">
        <v>0.43</v>
      </c>
      <c r="E182" s="54">
        <f>(0.16*2.08*4.5*2.5)/Table4[[#This Row],[Tiempo de reverberación (s)]]</f>
        <v>8.7069767441860488</v>
      </c>
    </row>
    <row r="183" spans="3:14" x14ac:dyDescent="0.2">
      <c r="C183" s="53">
        <v>3150</v>
      </c>
      <c r="D183" s="139">
        <v>0.41</v>
      </c>
      <c r="E183" s="54">
        <f>(0.16*2.08*4.5*2.5)/Table4[[#This Row],[Tiempo de reverberación (s)]]</f>
        <v>9.1317073170731735</v>
      </c>
    </row>
    <row r="184" spans="3:14" x14ac:dyDescent="0.2">
      <c r="C184" s="53">
        <v>4000</v>
      </c>
      <c r="D184" s="140">
        <v>0.4</v>
      </c>
      <c r="E184" s="54">
        <f>(0.16*2.08*4.5*2.5)/Table4[[#This Row],[Tiempo de reverberación (s)]]</f>
        <v>9.3600000000000012</v>
      </c>
    </row>
    <row r="185" spans="3:14" x14ac:dyDescent="0.2">
      <c r="C185" s="53">
        <v>5000</v>
      </c>
      <c r="D185" s="139">
        <v>0.39</v>
      </c>
      <c r="E185" s="54">
        <f>(0.16*2.08*4.5*2.5)/Table4[[#This Row],[Tiempo de reverberación (s)]]</f>
        <v>9.6000000000000014</v>
      </c>
    </row>
    <row r="188" spans="3:14" x14ac:dyDescent="0.2">
      <c r="C188" s="150" t="s">
        <v>78</v>
      </c>
      <c r="D188" s="150"/>
      <c r="E188" s="150"/>
      <c r="F188" s="150"/>
      <c r="G188" s="150"/>
      <c r="H188" s="150"/>
      <c r="I188" s="150"/>
      <c r="J188" s="150"/>
      <c r="K188" s="150"/>
    </row>
    <row r="189" spans="3:14" ht="34" x14ac:dyDescent="0.2">
      <c r="C189" s="42" t="s">
        <v>42</v>
      </c>
      <c r="D189" s="153" t="s">
        <v>18</v>
      </c>
      <c r="E189" s="153"/>
      <c r="F189" s="153"/>
      <c r="G189" s="153"/>
      <c r="H189" s="154" t="s">
        <v>19</v>
      </c>
      <c r="I189" s="154"/>
      <c r="J189" s="154"/>
      <c r="K189" s="154"/>
      <c r="N189">
        <f>4.5*2.08*2.5</f>
        <v>23.4</v>
      </c>
    </row>
    <row r="190" spans="3:14" x14ac:dyDescent="0.2">
      <c r="C190" s="1" t="s">
        <v>20</v>
      </c>
      <c r="D190" s="7" t="s">
        <v>74</v>
      </c>
      <c r="E190" s="7" t="s">
        <v>75</v>
      </c>
      <c r="F190" s="7" t="s">
        <v>76</v>
      </c>
      <c r="G190" s="7" t="s">
        <v>77</v>
      </c>
      <c r="H190" s="6" t="s">
        <v>74</v>
      </c>
      <c r="I190" s="6" t="s">
        <v>75</v>
      </c>
      <c r="J190" s="6" t="s">
        <v>76</v>
      </c>
      <c r="K190" s="6" t="s">
        <v>77</v>
      </c>
    </row>
    <row r="191" spans="3:14" x14ac:dyDescent="0.2">
      <c r="C191" s="8">
        <v>50</v>
      </c>
      <c r="D191" s="40">
        <v>62.246000000000002</v>
      </c>
      <c r="E191" s="40">
        <v>66.763999999999996</v>
      </c>
      <c r="F191" s="40">
        <v>64.015000000000001</v>
      </c>
      <c r="G191" s="40">
        <v>64.334000000000003</v>
      </c>
      <c r="H191" s="40">
        <v>58.215000000000003</v>
      </c>
      <c r="I191" s="40">
        <v>63.122999999999998</v>
      </c>
      <c r="J191" s="40">
        <v>60.064</v>
      </c>
      <c r="K191" s="40">
        <v>62.823</v>
      </c>
    </row>
    <row r="192" spans="3:14" x14ac:dyDescent="0.2">
      <c r="C192" s="8">
        <v>63</v>
      </c>
      <c r="D192" s="41">
        <v>61.597999999999999</v>
      </c>
      <c r="E192" s="41">
        <v>64.849000000000004</v>
      </c>
      <c r="F192" s="41">
        <v>55.375999999999998</v>
      </c>
      <c r="G192" s="41">
        <v>57.78</v>
      </c>
      <c r="H192" s="41">
        <v>49.427</v>
      </c>
      <c r="I192" s="41">
        <v>71.707630993848184</v>
      </c>
      <c r="J192" s="41">
        <v>42.884</v>
      </c>
      <c r="K192" s="41">
        <v>43.859000000000002</v>
      </c>
    </row>
    <row r="193" spans="3:11" x14ac:dyDescent="0.2">
      <c r="C193" s="8">
        <v>80</v>
      </c>
      <c r="D193" s="40">
        <v>64.325000000000003</v>
      </c>
      <c r="E193" s="40">
        <v>64.510000000000005</v>
      </c>
      <c r="F193" s="40">
        <v>68.628</v>
      </c>
      <c r="G193" s="40">
        <v>70.742000000000004</v>
      </c>
      <c r="H193" s="40">
        <v>50.901000000000003</v>
      </c>
      <c r="I193" s="40">
        <v>67.631388145759573</v>
      </c>
      <c r="J193" s="40">
        <v>54.478000000000002</v>
      </c>
      <c r="K193" s="40">
        <v>56.164999999999999</v>
      </c>
    </row>
    <row r="197" spans="3:11" x14ac:dyDescent="0.2">
      <c r="C197" s="150" t="s">
        <v>78</v>
      </c>
      <c r="D197" s="150"/>
      <c r="E197" s="150"/>
      <c r="F197" s="150"/>
      <c r="G197" s="150"/>
      <c r="H197" s="150"/>
      <c r="I197" s="150"/>
      <c r="J197" s="150"/>
      <c r="K197" s="150"/>
    </row>
    <row r="198" spans="3:11" ht="17" x14ac:dyDescent="0.2">
      <c r="C198" s="42" t="s">
        <v>43</v>
      </c>
      <c r="D198" s="151" t="s">
        <v>18</v>
      </c>
      <c r="E198" s="151"/>
      <c r="F198" s="151"/>
      <c r="G198" s="151"/>
      <c r="H198" s="152" t="s">
        <v>19</v>
      </c>
      <c r="I198" s="152"/>
      <c r="J198" s="152"/>
      <c r="K198" s="152"/>
    </row>
    <row r="199" spans="3:11" x14ac:dyDescent="0.2">
      <c r="C199" s="1" t="s">
        <v>20</v>
      </c>
      <c r="D199" s="7" t="s">
        <v>74</v>
      </c>
      <c r="E199" s="7" t="s">
        <v>75</v>
      </c>
      <c r="F199" s="7" t="s">
        <v>76</v>
      </c>
      <c r="G199" s="7" t="s">
        <v>77</v>
      </c>
      <c r="H199" s="6" t="s">
        <v>74</v>
      </c>
      <c r="I199" s="6" t="s">
        <v>75</v>
      </c>
      <c r="J199" s="6" t="s">
        <v>76</v>
      </c>
      <c r="K199" s="6" t="s">
        <v>77</v>
      </c>
    </row>
    <row r="200" spans="3:11" x14ac:dyDescent="0.2">
      <c r="C200" s="8">
        <v>50</v>
      </c>
      <c r="D200" s="40">
        <v>73.837000000000003</v>
      </c>
      <c r="E200" s="40">
        <v>78.269000000000005</v>
      </c>
      <c r="F200" s="40">
        <v>74.858000000000004</v>
      </c>
      <c r="G200" s="40">
        <v>75.744</v>
      </c>
      <c r="H200" s="40">
        <v>73.692999999999998</v>
      </c>
      <c r="I200" s="40">
        <v>76.706999999999994</v>
      </c>
      <c r="J200" s="40">
        <v>74.662000000000006</v>
      </c>
      <c r="K200" s="40">
        <v>75.072000000000003</v>
      </c>
    </row>
    <row r="201" spans="3:11" x14ac:dyDescent="0.2">
      <c r="C201" s="8">
        <v>63</v>
      </c>
      <c r="D201" s="41">
        <v>76.168000000000006</v>
      </c>
      <c r="E201" s="41">
        <v>76.52</v>
      </c>
      <c r="F201" s="41">
        <v>76.983000000000004</v>
      </c>
      <c r="G201" s="41">
        <v>77.356999999999999</v>
      </c>
      <c r="H201" s="41">
        <v>69.144000000000005</v>
      </c>
      <c r="I201" s="41">
        <v>67.447999999999993</v>
      </c>
      <c r="J201" s="41">
        <v>69.061999999999998</v>
      </c>
      <c r="K201" s="41">
        <v>70.048000000000002</v>
      </c>
    </row>
    <row r="202" spans="3:11" x14ac:dyDescent="0.2">
      <c r="C202" s="8">
        <v>80</v>
      </c>
      <c r="D202" s="40">
        <v>85.448999999999998</v>
      </c>
      <c r="E202" s="40">
        <v>81.212999999999994</v>
      </c>
      <c r="F202" s="40">
        <v>87.046000000000006</v>
      </c>
      <c r="G202" s="40">
        <v>93.168999999999997</v>
      </c>
      <c r="H202" s="40">
        <v>75.409000000000006</v>
      </c>
      <c r="I202" s="40">
        <v>82.012</v>
      </c>
      <c r="J202" s="40">
        <v>76.34</v>
      </c>
      <c r="K202" s="40">
        <v>85.123000000000005</v>
      </c>
    </row>
    <row r="206" spans="3:11" x14ac:dyDescent="0.2">
      <c r="C206" s="150" t="s">
        <v>78</v>
      </c>
      <c r="D206" s="150"/>
      <c r="E206" s="150"/>
      <c r="F206" s="150"/>
      <c r="G206" s="150"/>
      <c r="H206" s="150"/>
      <c r="I206" s="150"/>
      <c r="J206" s="150"/>
      <c r="K206" s="150"/>
    </row>
    <row r="207" spans="3:11" ht="17" x14ac:dyDescent="0.2">
      <c r="C207" s="42" t="s">
        <v>79</v>
      </c>
      <c r="D207" s="151" t="s">
        <v>18</v>
      </c>
      <c r="E207" s="151"/>
      <c r="F207" s="151"/>
      <c r="G207" s="151"/>
      <c r="H207" s="152" t="s">
        <v>19</v>
      </c>
      <c r="I207" s="152"/>
      <c r="J207" s="152"/>
      <c r="K207" s="152"/>
    </row>
    <row r="208" spans="3:11" x14ac:dyDescent="0.2">
      <c r="C208" s="1" t="s">
        <v>20</v>
      </c>
      <c r="D208" s="7" t="s">
        <v>74</v>
      </c>
      <c r="E208" s="7" t="s">
        <v>75</v>
      </c>
      <c r="F208" s="7" t="s">
        <v>76</v>
      </c>
      <c r="G208" s="7" t="s">
        <v>77</v>
      </c>
      <c r="H208" s="6" t="s">
        <v>74</v>
      </c>
      <c r="I208" s="6" t="s">
        <v>75</v>
      </c>
      <c r="J208" s="6" t="s">
        <v>76</v>
      </c>
      <c r="K208" s="6" t="s">
        <v>77</v>
      </c>
    </row>
    <row r="209" spans="3:11" x14ac:dyDescent="0.2">
      <c r="C209" s="8">
        <v>50</v>
      </c>
      <c r="D209" s="40">
        <v>63.576999999999998</v>
      </c>
      <c r="E209" s="40">
        <v>71.221000000000004</v>
      </c>
      <c r="F209" s="40">
        <v>65.706000000000003</v>
      </c>
      <c r="G209" s="40">
        <v>65.733999999999995</v>
      </c>
      <c r="H209" s="40">
        <v>62.84</v>
      </c>
      <c r="I209" s="40">
        <v>70.128</v>
      </c>
      <c r="J209" s="40">
        <v>63.436999999999998</v>
      </c>
      <c r="K209" s="40">
        <v>64.242999999999995</v>
      </c>
    </row>
    <row r="210" spans="3:11" x14ac:dyDescent="0.2">
      <c r="C210" s="8">
        <v>63</v>
      </c>
      <c r="D210" s="41">
        <v>65.284999999999997</v>
      </c>
      <c r="E210" s="41">
        <v>69.781000000000006</v>
      </c>
      <c r="F210" s="41">
        <v>60.976999999999997</v>
      </c>
      <c r="G210" s="41">
        <v>61.341000000000001</v>
      </c>
      <c r="H210" s="41">
        <v>67.72</v>
      </c>
      <c r="I210" s="41">
        <v>70.456999999999994</v>
      </c>
      <c r="J210" s="41">
        <v>61.262</v>
      </c>
      <c r="K210" s="41">
        <v>64.442999999999998</v>
      </c>
    </row>
    <row r="211" spans="3:11" x14ac:dyDescent="0.2">
      <c r="C211" s="8">
        <v>80</v>
      </c>
      <c r="D211" s="40">
        <v>63.2</v>
      </c>
      <c r="E211" s="40">
        <v>71.474000000000004</v>
      </c>
      <c r="F211" s="40">
        <v>70.444000000000003</v>
      </c>
      <c r="G211" s="40">
        <v>69.606999999999999</v>
      </c>
      <c r="H211" s="40">
        <v>65.704999999999998</v>
      </c>
      <c r="I211" s="40">
        <v>66.784000000000006</v>
      </c>
      <c r="J211" s="40">
        <v>67.311000000000007</v>
      </c>
      <c r="K211" s="40">
        <v>69.406999999999996</v>
      </c>
    </row>
    <row r="215" spans="3:11" x14ac:dyDescent="0.2">
      <c r="C215" s="150" t="s">
        <v>78</v>
      </c>
      <c r="D215" s="150"/>
      <c r="E215" s="150"/>
      <c r="F215" s="150"/>
      <c r="G215" s="150"/>
      <c r="H215" s="150"/>
      <c r="I215" s="150"/>
      <c r="J215" s="150"/>
      <c r="K215" s="150"/>
    </row>
    <row r="216" spans="3:11" ht="17" x14ac:dyDescent="0.2">
      <c r="C216" s="42" t="s">
        <v>45</v>
      </c>
      <c r="D216" s="151" t="s">
        <v>18</v>
      </c>
      <c r="E216" s="151"/>
      <c r="F216" s="151"/>
      <c r="G216" s="151"/>
      <c r="H216" s="152" t="s">
        <v>19</v>
      </c>
      <c r="I216" s="152"/>
      <c r="J216" s="152"/>
      <c r="K216" s="152"/>
    </row>
    <row r="217" spans="3:11" x14ac:dyDescent="0.2">
      <c r="C217" s="1" t="s">
        <v>20</v>
      </c>
      <c r="D217" s="7" t="s">
        <v>74</v>
      </c>
      <c r="E217" s="7" t="s">
        <v>75</v>
      </c>
      <c r="F217" s="7" t="s">
        <v>76</v>
      </c>
      <c r="G217" s="7" t="s">
        <v>77</v>
      </c>
      <c r="H217" s="6" t="s">
        <v>74</v>
      </c>
      <c r="I217" s="6" t="s">
        <v>75</v>
      </c>
      <c r="J217" s="6" t="s">
        <v>76</v>
      </c>
      <c r="K217" s="6" t="s">
        <v>77</v>
      </c>
    </row>
    <row r="218" spans="3:11" x14ac:dyDescent="0.2">
      <c r="C218" s="8">
        <v>50</v>
      </c>
      <c r="D218" s="40">
        <v>61.042999999999999</v>
      </c>
      <c r="E218" s="40">
        <v>65.489999999999995</v>
      </c>
      <c r="F218" s="40">
        <v>64.260999999999996</v>
      </c>
      <c r="G218" s="40">
        <v>67.335999999999999</v>
      </c>
      <c r="H218" s="40">
        <v>57.423000000000002</v>
      </c>
      <c r="I218" s="40">
        <v>61.835999999999999</v>
      </c>
      <c r="J218" s="40">
        <v>60.539000000000001</v>
      </c>
      <c r="K218" s="40">
        <v>65.474000000000004</v>
      </c>
    </row>
    <row r="219" spans="3:11" x14ac:dyDescent="0.2">
      <c r="C219" s="8">
        <v>63</v>
      </c>
      <c r="D219" s="41">
        <v>67.81</v>
      </c>
      <c r="E219" s="41">
        <v>70.004999999999995</v>
      </c>
      <c r="F219" s="41">
        <v>58.158000000000001</v>
      </c>
      <c r="G219" s="41">
        <v>61.177</v>
      </c>
      <c r="H219" s="41">
        <v>65.87</v>
      </c>
      <c r="I219" s="41">
        <v>66.738</v>
      </c>
      <c r="J219" s="41">
        <v>60.784999999999997</v>
      </c>
      <c r="K219" s="41">
        <v>63.795999999999999</v>
      </c>
    </row>
    <row r="220" spans="3:11" x14ac:dyDescent="0.2">
      <c r="C220" s="8">
        <v>80</v>
      </c>
      <c r="D220" s="40">
        <v>68.558000000000007</v>
      </c>
      <c r="E220" s="40">
        <v>63.162999999999997</v>
      </c>
      <c r="F220" s="40">
        <v>64.891999999999996</v>
      </c>
      <c r="G220" s="40">
        <v>72.558999999999997</v>
      </c>
      <c r="H220" s="40">
        <v>65.679000000000002</v>
      </c>
      <c r="I220" s="40">
        <v>70.391999999999996</v>
      </c>
      <c r="J220" s="40">
        <v>69.462999999999994</v>
      </c>
      <c r="K220" s="40">
        <v>73.841999999999999</v>
      </c>
    </row>
    <row r="224" spans="3:11" x14ac:dyDescent="0.2">
      <c r="C224" s="150" t="s">
        <v>78</v>
      </c>
      <c r="D224" s="150"/>
      <c r="E224" s="150"/>
      <c r="F224" s="150"/>
      <c r="G224" s="150"/>
      <c r="H224" s="150"/>
      <c r="I224" s="150"/>
      <c r="J224" s="150"/>
      <c r="K224" s="150"/>
    </row>
    <row r="225" spans="3:11" ht="34" x14ac:dyDescent="0.2">
      <c r="C225" s="42" t="s">
        <v>46</v>
      </c>
      <c r="D225" s="153" t="s">
        <v>18</v>
      </c>
      <c r="E225" s="153"/>
      <c r="F225" s="153"/>
      <c r="G225" s="153"/>
      <c r="H225" s="154" t="s">
        <v>19</v>
      </c>
      <c r="I225" s="154"/>
      <c r="J225" s="154"/>
      <c r="K225" s="154"/>
    </row>
    <row r="226" spans="3:11" x14ac:dyDescent="0.2">
      <c r="C226" s="1" t="s">
        <v>20</v>
      </c>
      <c r="D226" s="7" t="s">
        <v>74</v>
      </c>
      <c r="E226" s="7" t="s">
        <v>75</v>
      </c>
      <c r="F226" s="7" t="s">
        <v>76</v>
      </c>
      <c r="G226" s="7" t="s">
        <v>77</v>
      </c>
      <c r="H226" s="6" t="s">
        <v>74</v>
      </c>
      <c r="I226" s="6" t="s">
        <v>75</v>
      </c>
      <c r="J226" s="6" t="s">
        <v>76</v>
      </c>
      <c r="K226" s="6" t="s">
        <v>77</v>
      </c>
    </row>
    <row r="227" spans="3:11" x14ac:dyDescent="0.2">
      <c r="C227" s="8">
        <v>50</v>
      </c>
      <c r="D227" s="40">
        <v>34.265000000000001</v>
      </c>
      <c r="E227" s="40">
        <v>54.534999999999997</v>
      </c>
      <c r="F227" s="40">
        <v>45.494999999999997</v>
      </c>
      <c r="G227" s="40">
        <v>55.497</v>
      </c>
      <c r="H227" s="40">
        <v>42.396999999999998</v>
      </c>
      <c r="I227" s="40">
        <v>54.89</v>
      </c>
      <c r="J227" s="40">
        <v>45.026000000000003</v>
      </c>
      <c r="K227" s="40">
        <v>55.006</v>
      </c>
    </row>
    <row r="228" spans="3:11" x14ac:dyDescent="0.2">
      <c r="C228" s="8">
        <v>63</v>
      </c>
      <c r="D228" s="41">
        <v>45.587000000000003</v>
      </c>
      <c r="E228" s="41">
        <v>41.716000000000001</v>
      </c>
      <c r="F228" s="41">
        <v>39.521999999999998</v>
      </c>
      <c r="G228" s="41">
        <v>40.747999999999998</v>
      </c>
      <c r="H228" s="41">
        <v>42.564999999999998</v>
      </c>
      <c r="I228" s="41">
        <v>47.085000000000001</v>
      </c>
      <c r="J228" s="41">
        <v>49.933999999999997</v>
      </c>
      <c r="K228" s="41">
        <v>51.210999999999999</v>
      </c>
    </row>
    <row r="229" spans="3:11" x14ac:dyDescent="0.2">
      <c r="C229" s="8">
        <v>80</v>
      </c>
      <c r="D229" s="40">
        <v>40.104999999999997</v>
      </c>
      <c r="E229" s="40">
        <v>49.543999999999997</v>
      </c>
      <c r="F229" s="40">
        <v>49.604999999999997</v>
      </c>
      <c r="G229" s="40">
        <v>53.701000000000001</v>
      </c>
      <c r="H229" s="40">
        <v>49.247999999999998</v>
      </c>
      <c r="I229" s="40">
        <v>55.372</v>
      </c>
      <c r="J229" s="40">
        <v>48.936999999999998</v>
      </c>
      <c r="K229" s="40">
        <v>47.975999999999999</v>
      </c>
    </row>
  </sheetData>
  <autoFilter ref="C86:M86" xr:uid="{2B57B1C8-BC7D-404D-B292-9C7C21D896B6}"/>
  <mergeCells count="46">
    <mergeCell ref="P84:Z84"/>
    <mergeCell ref="Q85:U85"/>
    <mergeCell ref="V85:Z85"/>
    <mergeCell ref="P110:V110"/>
    <mergeCell ref="Q111:S111"/>
    <mergeCell ref="T111:V111"/>
    <mergeCell ref="Q31:S31"/>
    <mergeCell ref="T31:V31"/>
    <mergeCell ref="P30:V30"/>
    <mergeCell ref="P58:V58"/>
    <mergeCell ref="Q59:S59"/>
    <mergeCell ref="T59:V59"/>
    <mergeCell ref="C224:K224"/>
    <mergeCell ref="D225:G225"/>
    <mergeCell ref="H225:K225"/>
    <mergeCell ref="D207:G207"/>
    <mergeCell ref="H207:K207"/>
    <mergeCell ref="C215:K215"/>
    <mergeCell ref="D216:G216"/>
    <mergeCell ref="H216:K216"/>
    <mergeCell ref="D198:G198"/>
    <mergeCell ref="H198:K198"/>
    <mergeCell ref="C206:K206"/>
    <mergeCell ref="D189:G189"/>
    <mergeCell ref="H189:K189"/>
    <mergeCell ref="C30:M30"/>
    <mergeCell ref="C188:K188"/>
    <mergeCell ref="I31:M31"/>
    <mergeCell ref="D31:H31"/>
    <mergeCell ref="C197:K197"/>
    <mergeCell ref="C3:M3"/>
    <mergeCell ref="C137:H137"/>
    <mergeCell ref="P3:Z3"/>
    <mergeCell ref="Q4:U4"/>
    <mergeCell ref="V4:Z4"/>
    <mergeCell ref="C110:M110"/>
    <mergeCell ref="D111:H111"/>
    <mergeCell ref="I111:M111"/>
    <mergeCell ref="C58:M58"/>
    <mergeCell ref="D59:H59"/>
    <mergeCell ref="I59:M59"/>
    <mergeCell ref="C84:M84"/>
    <mergeCell ref="D85:H85"/>
    <mergeCell ref="I85:M85"/>
    <mergeCell ref="D4:H4"/>
    <mergeCell ref="I4:M4"/>
  </mergeCells>
  <phoneticPr fontId="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DACA-0819-524D-B387-CDCEABB1C3B0}">
  <dimension ref="B3:V259"/>
  <sheetViews>
    <sheetView showGridLines="0" topLeftCell="A28" zoomScale="75" zoomScaleNormal="30" workbookViewId="0">
      <selection activeCell="AY224" sqref="AY224"/>
    </sheetView>
  </sheetViews>
  <sheetFormatPr baseColWidth="10" defaultRowHeight="16" x14ac:dyDescent="0.2"/>
  <cols>
    <col min="1" max="1" width="2.1640625" customWidth="1"/>
    <col min="14" max="14" width="7" customWidth="1"/>
  </cols>
  <sheetData>
    <row r="3" spans="2:22" x14ac:dyDescent="0.2">
      <c r="B3" s="155" t="s">
        <v>42</v>
      </c>
      <c r="C3" s="156"/>
      <c r="F3" s="165" t="s">
        <v>42</v>
      </c>
      <c r="G3" s="166"/>
      <c r="H3" s="166"/>
      <c r="I3" s="166"/>
      <c r="J3" s="166"/>
      <c r="K3" s="166"/>
      <c r="L3" s="166"/>
      <c r="M3" s="167"/>
      <c r="O3" s="165" t="s">
        <v>42</v>
      </c>
      <c r="P3" s="166"/>
      <c r="Q3" s="166"/>
      <c r="R3" s="166"/>
      <c r="S3" s="166"/>
      <c r="T3" s="166"/>
      <c r="U3" s="166"/>
      <c r="V3" s="167"/>
    </row>
    <row r="4" spans="2:22" x14ac:dyDescent="0.2">
      <c r="B4" s="157" t="s">
        <v>62</v>
      </c>
      <c r="C4" s="158"/>
      <c r="F4" s="162" t="s">
        <v>25</v>
      </c>
      <c r="G4" s="163"/>
      <c r="H4" s="163"/>
      <c r="I4" s="163"/>
      <c r="J4" s="163"/>
      <c r="K4" s="163"/>
      <c r="L4" s="163"/>
      <c r="M4" s="164"/>
      <c r="O4" s="162" t="s">
        <v>28</v>
      </c>
      <c r="P4" s="163"/>
      <c r="Q4" s="163"/>
      <c r="R4" s="163"/>
      <c r="S4" s="163"/>
      <c r="T4" s="163"/>
      <c r="U4" s="163"/>
      <c r="V4" s="164"/>
    </row>
    <row r="5" spans="2:22" ht="33" customHeight="1" x14ac:dyDescent="0.2">
      <c r="B5" s="9" t="s">
        <v>20</v>
      </c>
      <c r="C5" s="36" t="s">
        <v>63</v>
      </c>
      <c r="E5" s="9" t="s">
        <v>20</v>
      </c>
      <c r="F5" s="9" t="s">
        <v>20</v>
      </c>
      <c r="G5" s="25" t="s">
        <v>64</v>
      </c>
      <c r="H5" s="25" t="s">
        <v>65</v>
      </c>
      <c r="I5" s="25" t="s">
        <v>66</v>
      </c>
      <c r="J5" s="25" t="s">
        <v>67</v>
      </c>
      <c r="K5" s="25" t="s">
        <v>68</v>
      </c>
      <c r="L5" s="11" t="s">
        <v>26</v>
      </c>
      <c r="M5" s="12" t="s">
        <v>27</v>
      </c>
      <c r="O5" s="9" t="s">
        <v>20</v>
      </c>
      <c r="P5" s="25" t="s">
        <v>69</v>
      </c>
      <c r="Q5" s="25" t="s">
        <v>70</v>
      </c>
      <c r="R5" s="25" t="s">
        <v>71</v>
      </c>
      <c r="S5" s="25" t="s">
        <v>72</v>
      </c>
      <c r="T5" s="25" t="s">
        <v>73</v>
      </c>
      <c r="U5" s="11" t="s">
        <v>26</v>
      </c>
      <c r="V5" s="12" t="s">
        <v>49</v>
      </c>
    </row>
    <row r="6" spans="2:22" x14ac:dyDescent="0.2">
      <c r="B6" s="13">
        <v>50</v>
      </c>
      <c r="C6" s="37">
        <f>Datos!D139</f>
        <v>28.146715008355432</v>
      </c>
      <c r="D6">
        <f>E7-E6</f>
        <v>0.10037054511756294</v>
      </c>
      <c r="E6" s="39">
        <f>LOG10(F6)</f>
        <v>1.6989700043360187</v>
      </c>
      <c r="F6" s="13">
        <v>50</v>
      </c>
      <c r="G6" s="31">
        <f>Table9[[#This Row],[Micro 1 - F1]]</f>
        <v>59.706195316387223</v>
      </c>
      <c r="H6" s="31">
        <f>Table9[[#This Row],[Micro 2 - F1]]</f>
        <v>48.476713919392402</v>
      </c>
      <c r="I6" s="31">
        <f>Table9[[#This Row],[Micro 3 - F1]]</f>
        <v>61.952090389494892</v>
      </c>
      <c r="J6" s="31">
        <f>Table9[[#This Row],[Micro 4 - F1]]</f>
        <v>65.040209826301123</v>
      </c>
      <c r="K6" s="31">
        <f>Table9[[#This Row],[Micro 5 - F1]]</f>
        <v>57.781042531574741</v>
      </c>
      <c r="L6" s="18">
        <v>5</v>
      </c>
      <c r="M6" s="14">
        <f>10*LOG10((10^($G6/10)+10^($H6/10)+10^($I6/10)+10^($J6/10)+10^($K6/10))/$L6)</f>
        <v>61.047693842712036</v>
      </c>
      <c r="O6" s="13">
        <v>50</v>
      </c>
      <c r="P6" s="31">
        <f>Table9[[#This Row],[Micro 1 - F2]]</f>
        <v>55.78968669877586</v>
      </c>
      <c r="Q6" s="31">
        <f>Table9[[#This Row],[Micro 2 - F2]]</f>
        <v>46.526660543631287</v>
      </c>
      <c r="R6" s="31">
        <f>Table9[[#This Row],[Micro 3 - F2]]</f>
        <v>59.582931477682934</v>
      </c>
      <c r="S6" s="31">
        <f>Table9[[#This Row],[Micro 4 - F2]]</f>
        <v>60.533370098882344</v>
      </c>
      <c r="T6" s="31">
        <f>Table9[[#This Row],[Micro 5 - F2]]</f>
        <v>57.504116921279333</v>
      </c>
      <c r="U6" s="18">
        <v>5</v>
      </c>
      <c r="V6" s="14">
        <f>10*LOG10((10^(P6/10)+10^(Q6/10)+10^(R6/10)+10^(S6/10)+10^(T6/10))/U6)</f>
        <v>57.819293694056348</v>
      </c>
    </row>
    <row r="7" spans="2:22" x14ac:dyDescent="0.2">
      <c r="B7" s="13">
        <v>63</v>
      </c>
      <c r="C7" s="37">
        <f>Datos!D140</f>
        <v>24.144270722382988</v>
      </c>
      <c r="E7" s="39">
        <f t="shared" ref="E7:E26" si="0">LOG10(F7)</f>
        <v>1.7993405494535817</v>
      </c>
      <c r="F7" s="13">
        <v>63</v>
      </c>
      <c r="G7" s="31">
        <f>Table9[[#This Row],[Micro 1 - F1]]</f>
        <v>52.464529244165455</v>
      </c>
      <c r="H7" s="31">
        <f>Table9[[#This Row],[Micro 2 - F1]]</f>
        <v>47.631706744741429</v>
      </c>
      <c r="I7" s="31">
        <f>Table9[[#This Row],[Micro 3 - F1]]</f>
        <v>52.346912024703968</v>
      </c>
      <c r="J7" s="31">
        <f>Table9[[#This Row],[Micro 4 - F1]]</f>
        <v>50.991755933432131</v>
      </c>
      <c r="K7" s="31">
        <f>Table9[[#This Row],[Micro 5 - F1]]</f>
        <v>49.1071615191738</v>
      </c>
      <c r="L7" s="18">
        <v>5</v>
      </c>
      <c r="M7" s="14">
        <f t="shared" ref="M7:M26" si="1">10*LOG10((10^(G7/10)+10^(H7/10)+10^(I7/10)+10^(J7/10)+10^(K7/10))/L7)</f>
        <v>50.885519777909884</v>
      </c>
      <c r="O7" s="13">
        <v>63</v>
      </c>
      <c r="P7" s="31">
        <f>Table9[[#This Row],[Micro 1 - F2]]</f>
        <v>41.87870631235171</v>
      </c>
      <c r="Q7" s="31">
        <f>Table9[[#This Row],[Micro 2 - F2]]</f>
        <v>42.494247036623541</v>
      </c>
      <c r="R7" s="31">
        <f>Table9[[#This Row],[Micro 3 - F2]]</f>
        <v>42.694363250051225</v>
      </c>
      <c r="S7" s="31">
        <f>Table9[[#This Row],[Micro 4 - F2]]</f>
        <v>40.994605283433891</v>
      </c>
      <c r="T7" s="31">
        <f>Table9[[#This Row],[Micro 5 - F2]]</f>
        <v>40.172887880883479</v>
      </c>
      <c r="U7" s="18">
        <v>5</v>
      </c>
      <c r="V7" s="14">
        <f t="shared" ref="V7:V26" si="2">10*LOG10((10^(P7/10)+10^(Q7/10)+10^(R7/10)+10^(S7/10)+10^(T7/10))/U7)</f>
        <v>41.74630326110681</v>
      </c>
    </row>
    <row r="8" spans="2:22" x14ac:dyDescent="0.2">
      <c r="B8" s="13">
        <v>80</v>
      </c>
      <c r="C8" s="37">
        <f>Datos!D141</f>
        <v>22.944642677805781</v>
      </c>
      <c r="E8" s="39">
        <f t="shared" si="0"/>
        <v>1.9030899869919435</v>
      </c>
      <c r="F8" s="13">
        <v>80</v>
      </c>
      <c r="G8" s="31">
        <f>Table9[[#This Row],[Micro 1 - F1]]</f>
        <v>56.711367868198643</v>
      </c>
      <c r="H8" s="31">
        <f>Table9[[#This Row],[Micro 2 - F1]]</f>
        <v>61.899039912965364</v>
      </c>
      <c r="I8" s="31">
        <f>Table9[[#This Row],[Micro 3 - F1]]</f>
        <v>62.312417557532171</v>
      </c>
      <c r="J8" s="31">
        <f>Table9[[#This Row],[Micro 4 - F1]]</f>
        <v>57.470220848959698</v>
      </c>
      <c r="K8" s="31">
        <f>Table9[[#This Row],[Micro 5 - F1]]</f>
        <v>58.473574788946856</v>
      </c>
      <c r="L8" s="18">
        <v>5</v>
      </c>
      <c r="M8" s="14">
        <f t="shared" si="1"/>
        <v>59.984939944526715</v>
      </c>
      <c r="O8" s="13">
        <v>80</v>
      </c>
      <c r="P8" s="31">
        <f>Table9[[#This Row],[Micro 1 - F2]]</f>
        <v>42.974330120568673</v>
      </c>
      <c r="Q8" s="31">
        <f>Table9[[#This Row],[Micro 2 - F2]]</f>
        <v>50.319312353838328</v>
      </c>
      <c r="R8" s="31">
        <f>Table9[[#This Row],[Micro 3 - F2]]</f>
        <v>50.104093095234461</v>
      </c>
      <c r="S8" s="31">
        <f>Table9[[#This Row],[Micro 4 - F2]]</f>
        <v>50.05688986087435</v>
      </c>
      <c r="T8" s="31">
        <f>Table9[[#This Row],[Micro 5 - F2]]</f>
        <v>42.669053493753154</v>
      </c>
      <c r="U8" s="18">
        <v>5</v>
      </c>
      <c r="V8" s="14">
        <f t="shared" si="2"/>
        <v>48.447225396398785</v>
      </c>
    </row>
    <row r="9" spans="2:22" x14ac:dyDescent="0.2">
      <c r="B9" s="13">
        <v>100</v>
      </c>
      <c r="C9" s="37">
        <f>Datos!D142</f>
        <v>22.436116037805096</v>
      </c>
      <c r="E9" s="39">
        <f t="shared" si="0"/>
        <v>2</v>
      </c>
      <c r="F9" s="13">
        <v>100</v>
      </c>
      <c r="G9" s="31">
        <f>Table9[[#This Row],[Micro 1 - F1]]</f>
        <v>53.847496569383281</v>
      </c>
      <c r="H9" s="31">
        <f>Table9[[#This Row],[Micro 2 - F1]]</f>
        <v>50.973976645797741</v>
      </c>
      <c r="I9" s="31">
        <f>Table9[[#This Row],[Micro 3 - F1]]</f>
        <v>52.024259024637296</v>
      </c>
      <c r="J9" s="31">
        <f>Table9[[#This Row],[Micro 4 - F1]]</f>
        <v>52.363636814690885</v>
      </c>
      <c r="K9" s="31">
        <f>Table9[[#This Row],[Micro 5 - F1]]</f>
        <v>57.288266035016072</v>
      </c>
      <c r="L9" s="18">
        <v>5</v>
      </c>
      <c r="M9" s="14">
        <f t="shared" si="1"/>
        <v>53.926802800208591</v>
      </c>
      <c r="O9" s="13">
        <v>100</v>
      </c>
      <c r="P9" s="31">
        <f>Table9[[#This Row],[Micro 1 - F2]]</f>
        <v>45.58057539557722</v>
      </c>
      <c r="Q9" s="31">
        <f>Table9[[#This Row],[Micro 2 - F2]]</f>
        <v>47.47168920859491</v>
      </c>
      <c r="R9" s="31">
        <f>Table9[[#This Row],[Micro 3 - F2]]</f>
        <v>47.511398669651577</v>
      </c>
      <c r="S9" s="31">
        <f>Table9[[#This Row],[Micro 4 - F2]]</f>
        <v>47.996973185994179</v>
      </c>
      <c r="T9" s="31">
        <f>Table9[[#This Row],[Micro 5 - F2]]</f>
        <v>48.797236680556459</v>
      </c>
      <c r="U9" s="18">
        <v>5</v>
      </c>
      <c r="V9" s="14">
        <f t="shared" si="2"/>
        <v>47.59301708974489</v>
      </c>
    </row>
    <row r="10" spans="2:22" x14ac:dyDescent="0.2">
      <c r="B10" s="13">
        <v>125</v>
      </c>
      <c r="C10" s="37">
        <f>Datos!D143</f>
        <v>19.509058193443646</v>
      </c>
      <c r="E10" s="39">
        <f t="shared" si="0"/>
        <v>2.0969100130080562</v>
      </c>
      <c r="F10" s="13">
        <v>125</v>
      </c>
      <c r="G10" s="31">
        <f>Table9[[#This Row],[Micro 1 - F1]]</f>
        <v>58.666959454351506</v>
      </c>
      <c r="H10" s="31">
        <f>Table9[[#This Row],[Micro 2 - F1]]</f>
        <v>53.224786490567105</v>
      </c>
      <c r="I10" s="31">
        <f>Table9[[#This Row],[Micro 3 - F1]]</f>
        <v>57.128313636235347</v>
      </c>
      <c r="J10" s="31">
        <f>Table9[[#This Row],[Micro 4 - F1]]</f>
        <v>60.450094655782237</v>
      </c>
      <c r="K10" s="31">
        <f>Table9[[#This Row],[Micro 5 - F1]]</f>
        <v>60.913541959917715</v>
      </c>
      <c r="L10" s="18">
        <v>5</v>
      </c>
      <c r="M10" s="14">
        <f t="shared" si="1"/>
        <v>58.814238149878832</v>
      </c>
      <c r="O10" s="13">
        <v>125</v>
      </c>
      <c r="P10" s="31">
        <f>Table9[[#This Row],[Micro 1 - F2]]</f>
        <v>51.402307668747888</v>
      </c>
      <c r="Q10" s="31">
        <f>Table9[[#This Row],[Micro 2 - F2]]</f>
        <v>59.461361724241492</v>
      </c>
      <c r="R10" s="31">
        <f>Table9[[#This Row],[Micro 3 - F2]]</f>
        <v>55.799221631458828</v>
      </c>
      <c r="S10" s="31">
        <f>Table9[[#This Row],[Micro 4 - F2]]</f>
        <v>57.54967747475991</v>
      </c>
      <c r="T10" s="31">
        <f>Table9[[#This Row],[Micro 5 - F2]]</f>
        <v>59.317377412340583</v>
      </c>
      <c r="U10" s="18">
        <v>5</v>
      </c>
      <c r="V10" s="14">
        <f t="shared" si="2"/>
        <v>57.520409291511918</v>
      </c>
    </row>
    <row r="11" spans="2:22" x14ac:dyDescent="0.2">
      <c r="B11" s="13">
        <v>160</v>
      </c>
      <c r="C11" s="37">
        <f>Datos!D144</f>
        <v>23.522845717037427</v>
      </c>
      <c r="E11" s="39">
        <f t="shared" si="0"/>
        <v>2.2041199826559246</v>
      </c>
      <c r="F11" s="13">
        <v>160</v>
      </c>
      <c r="G11" s="31">
        <f>Table9[[#This Row],[Micro 1 - F1]]</f>
        <v>59.272757153094041</v>
      </c>
      <c r="H11" s="31">
        <f>Table9[[#This Row],[Micro 2 - F1]]</f>
        <v>56.611587172066905</v>
      </c>
      <c r="I11" s="31">
        <f>Table9[[#This Row],[Micro 3 - F1]]</f>
        <v>59.740743533641698</v>
      </c>
      <c r="J11" s="31">
        <f>Table9[[#This Row],[Micro 4 - F1]]</f>
        <v>60.879032961349417</v>
      </c>
      <c r="K11" s="31">
        <f>Table9[[#This Row],[Micro 5 - F1]]</f>
        <v>61.184793287943428</v>
      </c>
      <c r="L11" s="18">
        <v>5</v>
      </c>
      <c r="M11" s="14">
        <f t="shared" si="1"/>
        <v>59.808364517411682</v>
      </c>
      <c r="O11" s="13">
        <v>160</v>
      </c>
      <c r="P11" s="31">
        <f>Table9[[#This Row],[Micro 1 - F2]]</f>
        <v>59.638913667589321</v>
      </c>
      <c r="Q11" s="31">
        <f>Table9[[#This Row],[Micro 2 - F2]]</f>
        <v>62.426854949923353</v>
      </c>
      <c r="R11" s="31">
        <f>Table9[[#This Row],[Micro 3 - F2]]</f>
        <v>63.544694788115365</v>
      </c>
      <c r="S11" s="31">
        <f>Table9[[#This Row],[Micro 4 - F2]]</f>
        <v>61.318646430969238</v>
      </c>
      <c r="T11" s="31">
        <f>Table9[[#This Row],[Micro 5 - F2]]</f>
        <v>59.315413606873108</v>
      </c>
      <c r="U11" s="18">
        <v>5</v>
      </c>
      <c r="V11" s="14">
        <f t="shared" si="2"/>
        <v>61.547044961222269</v>
      </c>
    </row>
    <row r="12" spans="2:22" x14ac:dyDescent="0.2">
      <c r="B12" s="13">
        <v>200</v>
      </c>
      <c r="C12" s="37">
        <f>Datos!D145</f>
        <v>21.681263926761602</v>
      </c>
      <c r="E12" s="39">
        <f t="shared" si="0"/>
        <v>2.3010299956639813</v>
      </c>
      <c r="F12" s="13">
        <v>200</v>
      </c>
      <c r="G12" s="31">
        <f>Table9[[#This Row],[Micro 1 - F1]]</f>
        <v>59.41733439340338</v>
      </c>
      <c r="H12" s="31">
        <f>Table9[[#This Row],[Micro 2 - F1]]</f>
        <v>59.424330061499965</v>
      </c>
      <c r="I12" s="31">
        <f>Table9[[#This Row],[Micro 3 - F1]]</f>
        <v>57.525853016396908</v>
      </c>
      <c r="J12" s="31">
        <f>Table9[[#This Row],[Micro 4 - F1]]</f>
        <v>61.312804541779279</v>
      </c>
      <c r="K12" s="31">
        <f>Table9[[#This Row],[Micro 5 - F1]]</f>
        <v>57.852374523108082</v>
      </c>
      <c r="L12" s="18">
        <v>5</v>
      </c>
      <c r="M12" s="14">
        <f t="shared" si="1"/>
        <v>59.323538683774899</v>
      </c>
      <c r="O12" s="13">
        <v>200</v>
      </c>
      <c r="P12" s="31">
        <f>Table9[[#This Row],[Micro 1 - F2]]</f>
        <v>61.863183376160769</v>
      </c>
      <c r="Q12" s="31">
        <f>Table9[[#This Row],[Micro 2 - F2]]</f>
        <v>60.45438259823711</v>
      </c>
      <c r="R12" s="31">
        <f>Table9[[#This Row],[Micro 3 - F2]]</f>
        <v>59.786989848954335</v>
      </c>
      <c r="S12" s="31">
        <f>Table9[[#This Row],[Micro 4 - F2]]</f>
        <v>59.414812374451976</v>
      </c>
      <c r="T12" s="31">
        <f>Table9[[#This Row],[Micro 5 - F2]]</f>
        <v>60.037357820000643</v>
      </c>
      <c r="U12" s="18">
        <v>5</v>
      </c>
      <c r="V12" s="14">
        <f t="shared" si="2"/>
        <v>60.398700866969349</v>
      </c>
    </row>
    <row r="13" spans="2:22" x14ac:dyDescent="0.2">
      <c r="B13" s="13">
        <v>250</v>
      </c>
      <c r="C13" s="37">
        <f>Datos!D146</f>
        <v>25.70778617048575</v>
      </c>
      <c r="E13" s="39">
        <f t="shared" si="0"/>
        <v>2.3979400086720375</v>
      </c>
      <c r="F13" s="13">
        <v>250</v>
      </c>
      <c r="G13" s="31">
        <f>Table9[[#This Row],[Micro 1 - F1]]</f>
        <v>58.124743642915789</v>
      </c>
      <c r="H13" s="31">
        <f>Table9[[#This Row],[Micro 2 - F1]]</f>
        <v>57.947030968985167</v>
      </c>
      <c r="I13" s="31">
        <f>Table9[[#This Row],[Micro 3 - F1]]</f>
        <v>57.585608031384496</v>
      </c>
      <c r="J13" s="31">
        <f>Table9[[#This Row],[Micro 4 - F1]]</f>
        <v>60.87044004410032</v>
      </c>
      <c r="K13" s="31">
        <f>Table9[[#This Row],[Micro 5 - F1]]</f>
        <v>60.796009680643039</v>
      </c>
      <c r="L13" s="18">
        <v>5</v>
      </c>
      <c r="M13" s="14">
        <f t="shared" si="1"/>
        <v>59.313837990393949</v>
      </c>
      <c r="O13" s="13">
        <v>250</v>
      </c>
      <c r="P13" s="31">
        <f>Table9[[#This Row],[Micro 1 - F2]]</f>
        <v>56.648542896504864</v>
      </c>
      <c r="Q13" s="31">
        <f>Table9[[#This Row],[Micro 2 - F2]]</f>
        <v>59.347670973270944</v>
      </c>
      <c r="R13" s="31">
        <f>Table9[[#This Row],[Micro 3 - F2]]</f>
        <v>59.221481932912553</v>
      </c>
      <c r="S13" s="31">
        <f>Table9[[#This Row],[Micro 4 - F2]]</f>
        <v>59.575628866997711</v>
      </c>
      <c r="T13" s="31">
        <f>Table9[[#This Row],[Micro 5 - F2]]</f>
        <v>62.27843290770717</v>
      </c>
      <c r="U13" s="18">
        <v>5</v>
      </c>
      <c r="V13" s="14">
        <f t="shared" si="2"/>
        <v>59.782156428143026</v>
      </c>
    </row>
    <row r="14" spans="2:22" x14ac:dyDescent="0.2">
      <c r="B14" s="13">
        <v>315</v>
      </c>
      <c r="C14" s="37">
        <f>Datos!D147</f>
        <v>24.974156950034349</v>
      </c>
      <c r="E14" s="39">
        <f t="shared" si="0"/>
        <v>2.4983105537896004</v>
      </c>
      <c r="F14" s="13">
        <v>315</v>
      </c>
      <c r="G14" s="31">
        <f>Table9[[#This Row],[Micro 1 - F1]]</f>
        <v>62.372358394666314</v>
      </c>
      <c r="H14" s="31">
        <f>Table9[[#This Row],[Micro 2 - F1]]</f>
        <v>60.199775893546636</v>
      </c>
      <c r="I14" s="31">
        <f>Table9[[#This Row],[Micro 3 - F1]]</f>
        <v>62.776208752342683</v>
      </c>
      <c r="J14" s="31">
        <f>Table9[[#This Row],[Micro 4 - F1]]</f>
        <v>62.773977220893244</v>
      </c>
      <c r="K14" s="31">
        <f>Table9[[#This Row],[Micro 5 - F1]]</f>
        <v>60.932455568450493</v>
      </c>
      <c r="L14" s="18">
        <v>5</v>
      </c>
      <c r="M14" s="14">
        <f t="shared" si="1"/>
        <v>61.932624016548139</v>
      </c>
      <c r="O14" s="13">
        <v>315</v>
      </c>
      <c r="P14" s="31">
        <f>Table9[[#This Row],[Micro 1 - F2]]</f>
        <v>63.081832100768381</v>
      </c>
      <c r="Q14" s="31">
        <f>Table9[[#This Row],[Micro 2 - F2]]</f>
        <v>62.593729799839181</v>
      </c>
      <c r="R14" s="31">
        <f>Table9[[#This Row],[Micro 3 - F2]]</f>
        <v>60.000269814899987</v>
      </c>
      <c r="S14" s="31">
        <f>Table9[[#This Row],[Micro 4 - F2]]</f>
        <v>63.9216657847482</v>
      </c>
      <c r="T14" s="31">
        <f>Table9[[#This Row],[Micro 5 - F2]]</f>
        <v>64.793341162388799</v>
      </c>
      <c r="U14" s="18">
        <v>5</v>
      </c>
      <c r="V14" s="14">
        <f t="shared" si="2"/>
        <v>63.1524224081734</v>
      </c>
    </row>
    <row r="15" spans="2:22" x14ac:dyDescent="0.2">
      <c r="B15" s="13">
        <v>400</v>
      </c>
      <c r="C15" s="37">
        <f>Datos!D148</f>
        <v>24.777384197010715</v>
      </c>
      <c r="E15" s="39">
        <f t="shared" si="0"/>
        <v>2.6020599913279625</v>
      </c>
      <c r="F15" s="13">
        <v>400</v>
      </c>
      <c r="G15" s="31">
        <f>Table9[[#This Row],[Micro 1 - F1]]</f>
        <v>61.355392100693152</v>
      </c>
      <c r="H15" s="31">
        <f>Table9[[#This Row],[Micro 2 - F1]]</f>
        <v>61.999404598023958</v>
      </c>
      <c r="I15" s="31">
        <f>Table9[[#This Row],[Micro 3 - F1]]</f>
        <v>60.348008730205095</v>
      </c>
      <c r="J15" s="31">
        <f>Table9[[#This Row],[Micro 4 - F1]]</f>
        <v>62.064096470395612</v>
      </c>
      <c r="K15" s="31">
        <f>Table9[[#This Row],[Micro 5 - F1]]</f>
        <v>61.359957429438687</v>
      </c>
      <c r="L15" s="18">
        <v>5</v>
      </c>
      <c r="M15" s="14">
        <f t="shared" si="1"/>
        <v>61.467825524824669</v>
      </c>
      <c r="O15" s="13">
        <v>400</v>
      </c>
      <c r="P15" s="31">
        <f>Table9[[#This Row],[Micro 1 - F2]]</f>
        <v>61.35584161255764</v>
      </c>
      <c r="Q15" s="31">
        <f>Table9[[#This Row],[Micro 2 - F2]]</f>
        <v>59.54741896470243</v>
      </c>
      <c r="R15" s="31">
        <f>Table9[[#This Row],[Micro 3 - F2]]</f>
        <v>58.657710068566459</v>
      </c>
      <c r="S15" s="31">
        <f>Table9[[#This Row],[Micro 4 - F2]]</f>
        <v>60.237661307776357</v>
      </c>
      <c r="T15" s="31">
        <f>Table9[[#This Row],[Micro 5 - F2]]</f>
        <v>60.620819560929306</v>
      </c>
      <c r="U15" s="18">
        <v>5</v>
      </c>
      <c r="V15" s="14">
        <f t="shared" si="2"/>
        <v>60.179928646808094</v>
      </c>
    </row>
    <row r="16" spans="2:22" x14ac:dyDescent="0.2">
      <c r="B16" s="13">
        <v>500</v>
      </c>
      <c r="C16" s="37">
        <f>Datos!D149</f>
        <v>25.759291455636617</v>
      </c>
      <c r="E16" s="39">
        <f t="shared" si="0"/>
        <v>2.6989700043360187</v>
      </c>
      <c r="F16" s="13">
        <v>500</v>
      </c>
      <c r="G16" s="31">
        <f>Table9[[#This Row],[Micro 1 - F1]]</f>
        <v>57.530844021206121</v>
      </c>
      <c r="H16" s="31">
        <f>Table9[[#This Row],[Micro 2 - F1]]</f>
        <v>58.427265174427085</v>
      </c>
      <c r="I16" s="31">
        <f>Table9[[#This Row],[Micro 3 - F1]]</f>
        <v>56.77840810861052</v>
      </c>
      <c r="J16" s="31">
        <f>Table9[[#This Row],[Micro 4 - F1]]</f>
        <v>56.302952728129014</v>
      </c>
      <c r="K16" s="31">
        <f>Table9[[#This Row],[Micro 5 - F1]]</f>
        <v>57.061953414113901</v>
      </c>
      <c r="L16" s="18">
        <v>5</v>
      </c>
      <c r="M16" s="14">
        <f t="shared" si="1"/>
        <v>57.281997478535125</v>
      </c>
      <c r="O16" s="13">
        <v>500</v>
      </c>
      <c r="P16" s="31">
        <f>Table9[[#This Row],[Micro 1 - F2]]</f>
        <v>56.594453374401326</v>
      </c>
      <c r="Q16" s="31">
        <f>Table9[[#This Row],[Micro 2 - F2]]</f>
        <v>57.296832200278992</v>
      </c>
      <c r="R16" s="31">
        <f>Table9[[#This Row],[Micro 3 - F2]]</f>
        <v>57.682916968209405</v>
      </c>
      <c r="S16" s="31">
        <f>Table9[[#This Row],[Micro 4 - F2]]</f>
        <v>57.652902818821346</v>
      </c>
      <c r="T16" s="31">
        <f>Table9[[#This Row],[Micro 5 - F2]]</f>
        <v>57.367041069044461</v>
      </c>
      <c r="U16" s="18">
        <v>5</v>
      </c>
      <c r="V16" s="14">
        <f t="shared" si="2"/>
        <v>57.336073741546457</v>
      </c>
    </row>
    <row r="17" spans="2:22" x14ac:dyDescent="0.2">
      <c r="B17" s="13">
        <v>630</v>
      </c>
      <c r="C17" s="37">
        <f>Datos!D150</f>
        <v>25.661214080511353</v>
      </c>
      <c r="E17" s="39">
        <f t="shared" si="0"/>
        <v>2.7993405494535817</v>
      </c>
      <c r="F17" s="13">
        <v>630</v>
      </c>
      <c r="G17" s="31">
        <f>Table9[[#This Row],[Micro 1 - F1]]</f>
        <v>51.290032056801216</v>
      </c>
      <c r="H17" s="31">
        <f>Table9[[#This Row],[Micro 2 - F1]]</f>
        <v>52.432202571973164</v>
      </c>
      <c r="I17" s="31">
        <f>Table9[[#This Row],[Micro 3 - F1]]</f>
        <v>53.145534330271857</v>
      </c>
      <c r="J17" s="31">
        <f>Table9[[#This Row],[Micro 4 - F1]]</f>
        <v>50.209741843514749</v>
      </c>
      <c r="K17" s="31">
        <f>Table9[[#This Row],[Micro 5 - F1]]</f>
        <v>53.113702421781547</v>
      </c>
      <c r="L17" s="18">
        <v>5</v>
      </c>
      <c r="M17" s="14">
        <f t="shared" si="1"/>
        <v>52.178802718145576</v>
      </c>
      <c r="O17" s="13">
        <v>630</v>
      </c>
      <c r="P17" s="31">
        <f>Table9[[#This Row],[Micro 1 - F2]]</f>
        <v>51.330596221483141</v>
      </c>
      <c r="Q17" s="31">
        <f>Table9[[#This Row],[Micro 2 - F2]]</f>
        <v>51.42319912071541</v>
      </c>
      <c r="R17" s="31">
        <f>Table9[[#This Row],[Micro 3 - F2]]</f>
        <v>52.248898492540633</v>
      </c>
      <c r="S17" s="31">
        <f>Table9[[#This Row],[Micro 4 - F2]]</f>
        <v>52.53056075968928</v>
      </c>
      <c r="T17" s="31">
        <f>Table9[[#This Row],[Micro 5 - F2]]</f>
        <v>52.837579271737724</v>
      </c>
      <c r="U17" s="18">
        <v>5</v>
      </c>
      <c r="V17" s="14">
        <f t="shared" si="2"/>
        <v>52.115216971622502</v>
      </c>
    </row>
    <row r="18" spans="2:22" x14ac:dyDescent="0.2">
      <c r="B18" s="13">
        <v>800</v>
      </c>
      <c r="C18" s="37">
        <f>Datos!D151</f>
        <v>25.206530265558779</v>
      </c>
      <c r="E18" s="39">
        <f t="shared" si="0"/>
        <v>2.9030899869919438</v>
      </c>
      <c r="F18" s="13">
        <v>800</v>
      </c>
      <c r="G18" s="31">
        <f>Table9[[#This Row],[Micro 1 - F1]]</f>
        <v>47.463915567434334</v>
      </c>
      <c r="H18" s="31">
        <f>Table9[[#This Row],[Micro 2 - F1]]</f>
        <v>50.245524116106239</v>
      </c>
      <c r="I18" s="31">
        <f>Table9[[#This Row],[Micro 3 - F1]]</f>
        <v>48.217770519311038</v>
      </c>
      <c r="J18" s="31">
        <f>Table9[[#This Row],[Micro 4 - F1]]</f>
        <v>49.698509775512584</v>
      </c>
      <c r="K18" s="31">
        <f>Table9[[#This Row],[Micro 5 - F1]]</f>
        <v>49.866004520398008</v>
      </c>
      <c r="L18" s="18">
        <v>5</v>
      </c>
      <c r="M18" s="14">
        <f t="shared" si="1"/>
        <v>49.223937729612082</v>
      </c>
      <c r="O18" s="13">
        <v>800</v>
      </c>
      <c r="P18" s="31">
        <f>Table9[[#This Row],[Micro 1 - F2]]</f>
        <v>48.676824642002366</v>
      </c>
      <c r="Q18" s="31">
        <f>Table9[[#This Row],[Micro 2 - F2]]</f>
        <v>49.049187749760087</v>
      </c>
      <c r="R18" s="31">
        <f>Table9[[#This Row],[Micro 3 - F2]]</f>
        <v>48.053345016070772</v>
      </c>
      <c r="S18" s="31">
        <f>Table9[[#This Row],[Micro 4 - F2]]</f>
        <v>49.918870201380429</v>
      </c>
      <c r="T18" s="31">
        <f>Table9[[#This Row],[Micro 5 - F2]]</f>
        <v>50.66378666382932</v>
      </c>
      <c r="U18" s="18">
        <v>5</v>
      </c>
      <c r="V18" s="14">
        <f t="shared" si="2"/>
        <v>49.371295719863106</v>
      </c>
    </row>
    <row r="19" spans="2:22" x14ac:dyDescent="0.2">
      <c r="B19" s="13">
        <v>1000</v>
      </c>
      <c r="C19" s="37">
        <f>Datos!D152</f>
        <v>25.584988590938593</v>
      </c>
      <c r="E19" s="39">
        <f t="shared" si="0"/>
        <v>3</v>
      </c>
      <c r="F19" s="13">
        <v>1000</v>
      </c>
      <c r="G19" s="31">
        <f>Table9[[#This Row],[Micro 1 - F1]]</f>
        <v>46.21238998224527</v>
      </c>
      <c r="H19" s="31">
        <f>Table9[[#This Row],[Micro 2 - F1]]</f>
        <v>46.118003960266975</v>
      </c>
      <c r="I19" s="31">
        <f>Table9[[#This Row],[Micro 3 - F1]]</f>
        <v>47.407643823596437</v>
      </c>
      <c r="J19" s="31">
        <f>Table9[[#This Row],[Micro 4 - F1]]</f>
        <v>48.399570550571305</v>
      </c>
      <c r="K19" s="31">
        <f>Table9[[#This Row],[Micro 5 - F1]]</f>
        <v>46.715227848034729</v>
      </c>
      <c r="L19" s="18">
        <v>5</v>
      </c>
      <c r="M19" s="14">
        <f t="shared" si="1"/>
        <v>47.056554989526404</v>
      </c>
      <c r="O19" s="13">
        <v>1000</v>
      </c>
      <c r="P19" s="31">
        <f>Table9[[#This Row],[Micro 1 - F2]]</f>
        <v>47.31824779510498</v>
      </c>
      <c r="Q19" s="31">
        <f>Table9[[#This Row],[Micro 2 - F2]]</f>
        <v>47.559063635854798</v>
      </c>
      <c r="R19" s="31">
        <f>Table9[[#This Row],[Micro 3 - F2]]</f>
        <v>47.276751681736535</v>
      </c>
      <c r="S19" s="31">
        <f>Table9[[#This Row],[Micro 4 - F2]]</f>
        <v>48.29105877286554</v>
      </c>
      <c r="T19" s="31">
        <f>Table9[[#This Row],[Micro 5 - F2]]</f>
        <v>47.151827762542119</v>
      </c>
      <c r="U19" s="18">
        <v>5</v>
      </c>
      <c r="V19" s="14">
        <f t="shared" si="2"/>
        <v>47.539214695951955</v>
      </c>
    </row>
    <row r="20" spans="2:22" x14ac:dyDescent="0.2">
      <c r="B20" s="13">
        <v>1250</v>
      </c>
      <c r="C20" s="37">
        <f>Datos!D153</f>
        <v>25.655874015459048</v>
      </c>
      <c r="E20" s="39">
        <f t="shared" si="0"/>
        <v>3.0969100130080562</v>
      </c>
      <c r="F20" s="13">
        <v>1250</v>
      </c>
      <c r="G20" s="31">
        <f>Table9[[#This Row],[Micro 1 - F1]]</f>
        <v>45.095756026728523</v>
      </c>
      <c r="H20" s="31">
        <f>Table9[[#This Row],[Micro 2 - F1]]</f>
        <v>45.06037874788074</v>
      </c>
      <c r="I20" s="31">
        <f>Table9[[#This Row],[Micro 3 - F1]]</f>
        <v>45.464939226319288</v>
      </c>
      <c r="J20" s="31">
        <f>Table9[[#This Row],[Micro 4 - F1]]</f>
        <v>46.593776197104006</v>
      </c>
      <c r="K20" s="31">
        <f>Table9[[#This Row],[Micro 5 - F1]]</f>
        <v>45.738344964570409</v>
      </c>
      <c r="L20" s="18">
        <v>5</v>
      </c>
      <c r="M20" s="14">
        <f t="shared" si="1"/>
        <v>45.62805797706104</v>
      </c>
      <c r="O20" s="13">
        <v>1250</v>
      </c>
      <c r="P20" s="31">
        <f>Table9[[#This Row],[Micro 1 - F2]]</f>
        <v>46.772535079653082</v>
      </c>
      <c r="Q20" s="31">
        <f>Table9[[#This Row],[Micro 2 - F2]]</f>
        <v>46.315230220909434</v>
      </c>
      <c r="R20" s="31">
        <f>Table9[[#This Row],[Micro 3 - F2]]</f>
        <v>45.850445818901065</v>
      </c>
      <c r="S20" s="31">
        <f>Table9[[#This Row],[Micro 4 - F2]]</f>
        <v>47.760107737969172</v>
      </c>
      <c r="T20" s="31">
        <f>Table9[[#This Row],[Micro 5 - F2]]</f>
        <v>46.890673060391492</v>
      </c>
      <c r="U20" s="18">
        <v>5</v>
      </c>
      <c r="V20" s="14">
        <f t="shared" si="2"/>
        <v>46.765290658784139</v>
      </c>
    </row>
    <row r="21" spans="2:22" x14ac:dyDescent="0.2">
      <c r="B21" s="13">
        <v>1600</v>
      </c>
      <c r="C21" s="37">
        <f>Datos!D154</f>
        <v>25.063784773832833</v>
      </c>
      <c r="E21" s="39">
        <f t="shared" si="0"/>
        <v>3.2041199826559246</v>
      </c>
      <c r="F21" s="13">
        <v>1600</v>
      </c>
      <c r="G21" s="31">
        <f>Table9[[#This Row],[Micro 1 - F1]]</f>
        <v>43.506744109179131</v>
      </c>
      <c r="H21" s="31">
        <f>Table9[[#This Row],[Micro 2 - F1]]</f>
        <v>44.406352946490863</v>
      </c>
      <c r="I21" s="31">
        <f>Table9[[#This Row],[Micro 3 - F1]]</f>
        <v>43.798555121889123</v>
      </c>
      <c r="J21" s="31">
        <f>Table9[[#This Row],[Micro 4 - F1]]</f>
        <v>44.511233140106626</v>
      </c>
      <c r="K21" s="31">
        <f>Table9[[#This Row],[Micro 5 - F1]]</f>
        <v>43.475523767060643</v>
      </c>
      <c r="L21" s="18">
        <v>5</v>
      </c>
      <c r="M21" s="14">
        <f t="shared" si="1"/>
        <v>43.962104251281822</v>
      </c>
      <c r="O21" s="13">
        <v>1600</v>
      </c>
      <c r="P21" s="31">
        <f>Table9[[#This Row],[Micro 1 - F2]]</f>
        <v>43.064515358274164</v>
      </c>
      <c r="Q21" s="31">
        <f>Table9[[#This Row],[Micro 2 - F2]]</f>
        <v>45.224184020606629</v>
      </c>
      <c r="R21" s="31">
        <f>Table9[[#This Row],[Micro 3 - F2]]</f>
        <v>43.914423179626468</v>
      </c>
      <c r="S21" s="31">
        <f>Table9[[#This Row],[Micro 4 - F2]]</f>
        <v>46.287050648207376</v>
      </c>
      <c r="T21" s="31">
        <f>Table9[[#This Row],[Micro 5 - F2]]</f>
        <v>45.13378133037574</v>
      </c>
      <c r="U21" s="18">
        <v>5</v>
      </c>
      <c r="V21" s="14">
        <f t="shared" si="2"/>
        <v>44.866316478168649</v>
      </c>
    </row>
    <row r="22" spans="2:22" x14ac:dyDescent="0.2">
      <c r="B22" s="13">
        <v>2000</v>
      </c>
      <c r="C22" s="37">
        <f>Datos!D155</f>
        <v>25.908405023462631</v>
      </c>
      <c r="E22" s="39">
        <f t="shared" si="0"/>
        <v>3.3010299956639813</v>
      </c>
      <c r="F22" s="13">
        <v>2000</v>
      </c>
      <c r="G22" s="31">
        <f>Table9[[#This Row],[Micro 1 - F1]]</f>
        <v>43.721501665876843</v>
      </c>
      <c r="H22" s="31">
        <f>Table9[[#This Row],[Micro 2 - F1]]</f>
        <v>44.78197937299349</v>
      </c>
      <c r="I22" s="31">
        <f>Table9[[#This Row],[Micro 3 - F1]]</f>
        <v>44.81853508336787</v>
      </c>
      <c r="J22" s="31">
        <f>Table9[[#This Row],[Micro 4 - F1]]</f>
        <v>45.205248910171981</v>
      </c>
      <c r="K22" s="31">
        <f>Table9[[#This Row],[Micro 5 - F1]]</f>
        <v>43.584119889838846</v>
      </c>
      <c r="L22" s="18">
        <v>5</v>
      </c>
      <c r="M22" s="14">
        <f t="shared" si="1"/>
        <v>44.469718789996662</v>
      </c>
      <c r="O22" s="13">
        <v>2000</v>
      </c>
      <c r="P22" s="31">
        <f>Table9[[#This Row],[Micro 1 - F2]]</f>
        <v>44.001479565451724</v>
      </c>
      <c r="Q22" s="31">
        <f>Table9[[#This Row],[Micro 2 - F2]]</f>
        <v>44.936277047003415</v>
      </c>
      <c r="R22" s="31">
        <f>Table9[[#This Row],[Micro 3 - F2]]</f>
        <v>44.907521949495589</v>
      </c>
      <c r="S22" s="31">
        <f>Table9[[#This Row],[Micro 4 - F2]]</f>
        <v>47.554286623169595</v>
      </c>
      <c r="T22" s="31">
        <f>Table9[[#This Row],[Micro 5 - F2]]</f>
        <v>44.666434210977606</v>
      </c>
      <c r="U22" s="18">
        <v>5</v>
      </c>
      <c r="V22" s="14">
        <f t="shared" si="2"/>
        <v>45.402605457127606</v>
      </c>
    </row>
    <row r="23" spans="2:22" x14ac:dyDescent="0.2">
      <c r="B23" s="13">
        <v>2500</v>
      </c>
      <c r="C23" s="37">
        <f>Datos!D156</f>
        <v>26.480220308490829</v>
      </c>
      <c r="E23" s="39">
        <f t="shared" si="0"/>
        <v>3.3979400086720375</v>
      </c>
      <c r="F23" s="13">
        <v>2500</v>
      </c>
      <c r="G23" s="31">
        <f>Table9[[#This Row],[Micro 1 - F1]]</f>
        <v>49.059383051477006</v>
      </c>
      <c r="H23" s="31">
        <f>Table9[[#This Row],[Micro 2 - F1]]</f>
        <v>50.281841572897264</v>
      </c>
      <c r="I23" s="31">
        <f>Table9[[#This Row],[Micro 3 - F1]]</f>
        <v>49.654654102706544</v>
      </c>
      <c r="J23" s="31">
        <f>Table9[[#This Row],[Micro 4 - F1]]</f>
        <v>52.159843234677496</v>
      </c>
      <c r="K23" s="31">
        <f>Table9[[#This Row],[Micro 5 - F1]]</f>
        <v>50.216990208968021</v>
      </c>
      <c r="L23" s="18">
        <v>5</v>
      </c>
      <c r="M23" s="14">
        <f t="shared" si="1"/>
        <v>50.407145471981003</v>
      </c>
      <c r="O23" s="13">
        <v>2500</v>
      </c>
      <c r="P23" s="31">
        <f>Table9[[#This Row],[Micro 1 - F2]]</f>
        <v>50.165487423700547</v>
      </c>
      <c r="Q23" s="31">
        <f>Table9[[#This Row],[Micro 2 - F2]]</f>
        <v>50.443251760199381</v>
      </c>
      <c r="R23" s="31">
        <f>Table9[[#This Row],[Micro 3 - F2]]</f>
        <v>50.979661086627416</v>
      </c>
      <c r="S23" s="31">
        <f>Table9[[#This Row],[Micro 4 - F2]]</f>
        <v>54.910796344069624</v>
      </c>
      <c r="T23" s="31">
        <f>Table9[[#This Row],[Micro 5 - F2]]</f>
        <v>50.652511918566169</v>
      </c>
      <c r="U23" s="18">
        <v>5</v>
      </c>
      <c r="V23" s="14">
        <f t="shared" si="2"/>
        <v>51.852272487472845</v>
      </c>
    </row>
    <row r="24" spans="2:22" x14ac:dyDescent="0.2">
      <c r="B24" s="13">
        <v>3150</v>
      </c>
      <c r="C24" s="37">
        <f>Datos!D157</f>
        <v>27.211833851010191</v>
      </c>
      <c r="E24" s="39">
        <f t="shared" si="0"/>
        <v>3.4983105537896004</v>
      </c>
      <c r="F24" s="13">
        <v>3150</v>
      </c>
      <c r="G24" s="31">
        <f>Table9[[#This Row],[Micro 1 - F1]]</f>
        <v>50.546755834224108</v>
      </c>
      <c r="H24" s="31">
        <f>Table9[[#This Row],[Micro 2 - F1]]</f>
        <v>50.881627078330482</v>
      </c>
      <c r="I24" s="31">
        <f>Table9[[#This Row],[Micro 3 - F1]]</f>
        <v>51.418110637864423</v>
      </c>
      <c r="J24" s="31">
        <f>Table9[[#This Row],[Micro 4 - F1]]</f>
        <v>53.440845058523081</v>
      </c>
      <c r="K24" s="31">
        <f>Table9[[#This Row],[Micro 5 - F1]]</f>
        <v>51.492911500337591</v>
      </c>
      <c r="L24" s="18">
        <v>5</v>
      </c>
      <c r="M24" s="14">
        <f t="shared" si="1"/>
        <v>51.681472753214152</v>
      </c>
      <c r="O24" s="13">
        <v>3150</v>
      </c>
      <c r="P24" s="31">
        <f>Table9[[#This Row],[Micro 1 - F2]]</f>
        <v>52.287878101913506</v>
      </c>
      <c r="Q24" s="31">
        <f>Table9[[#This Row],[Micro 2 - F2]]</f>
        <v>51.826432428907673</v>
      </c>
      <c r="R24" s="31">
        <f>Table9[[#This Row],[Micro 3 - F2]]</f>
        <v>52.709049129486083</v>
      </c>
      <c r="S24" s="31">
        <f>Table9[[#This Row],[Micro 4 - F2]]</f>
        <v>56.83136947416164</v>
      </c>
      <c r="T24" s="31">
        <f>Table9[[#This Row],[Micro 5 - F2]]</f>
        <v>52.792205557146879</v>
      </c>
      <c r="U24" s="18">
        <v>5</v>
      </c>
      <c r="V24" s="14">
        <f t="shared" si="2"/>
        <v>53.731079260149173</v>
      </c>
    </row>
    <row r="25" spans="2:22" x14ac:dyDescent="0.2">
      <c r="B25" s="13">
        <v>4000</v>
      </c>
      <c r="C25" s="37">
        <f>Datos!D158</f>
        <v>28.143697723064548</v>
      </c>
      <c r="E25" s="39">
        <f t="shared" si="0"/>
        <v>3.6020599913279625</v>
      </c>
      <c r="F25" s="13">
        <v>4000</v>
      </c>
      <c r="G25" s="31">
        <f>Table9[[#This Row],[Micro 1 - F1]]</f>
        <v>45.706104572281639</v>
      </c>
      <c r="H25" s="31">
        <f>Table9[[#This Row],[Micro 2 - F1]]</f>
        <v>46.701625741280893</v>
      </c>
      <c r="I25" s="31">
        <f>Table9[[#This Row],[Micro 3 - F1]]</f>
        <v>47.668245143146315</v>
      </c>
      <c r="J25" s="31">
        <f>Table9[[#This Row],[Micro 4 - F1]]</f>
        <v>48.498892740486497</v>
      </c>
      <c r="K25" s="31">
        <f>Table9[[#This Row],[Micro 5 - F1]]</f>
        <v>46.489667901582123</v>
      </c>
      <c r="L25" s="18">
        <v>5</v>
      </c>
      <c r="M25" s="14">
        <f t="shared" si="1"/>
        <v>47.122976495568132</v>
      </c>
      <c r="O25" s="13">
        <v>4000</v>
      </c>
      <c r="P25" s="31">
        <f>Table9[[#This Row],[Micro 1 - F2]]</f>
        <v>46.419317992585661</v>
      </c>
      <c r="Q25" s="31">
        <f>Table9[[#This Row],[Micro 2 - F2]]</f>
        <v>46.843600155770396</v>
      </c>
      <c r="R25" s="31">
        <f>Table9[[#This Row],[Micro 3 - F2]]</f>
        <v>46.99254101344517</v>
      </c>
      <c r="S25" s="31">
        <f>Table9[[#This Row],[Micro 4 - F2]]</f>
        <v>50.433200468865387</v>
      </c>
      <c r="T25" s="31">
        <f>Table9[[#This Row],[Micro 5 - F2]]</f>
        <v>47.394746249625243</v>
      </c>
      <c r="U25" s="18">
        <v>5</v>
      </c>
      <c r="V25" s="14">
        <f t="shared" si="2"/>
        <v>47.890187932807642</v>
      </c>
    </row>
    <row r="26" spans="2:22" x14ac:dyDescent="0.2">
      <c r="B26" s="15">
        <v>5000</v>
      </c>
      <c r="C26" s="38">
        <f>Datos!D159</f>
        <v>29.070110794765498</v>
      </c>
      <c r="E26" s="39">
        <f t="shared" si="0"/>
        <v>3.6989700043360187</v>
      </c>
      <c r="F26" s="15">
        <v>5000</v>
      </c>
      <c r="G26" s="32">
        <f>Table9[[#This Row],[Micro 1 - F1]]</f>
        <v>39.433986674696776</v>
      </c>
      <c r="H26" s="32">
        <f>Table9[[#This Row],[Micro 2 - F1]]</f>
        <v>39.359349911444376</v>
      </c>
      <c r="I26" s="32">
        <f>Table9[[#This Row],[Micro 3 - F1]]</f>
        <v>41.13127312991417</v>
      </c>
      <c r="J26" s="32">
        <f>Table9[[#This Row],[Micro 4 - F1]]</f>
        <v>42.326355885168198</v>
      </c>
      <c r="K26" s="32">
        <f>Table9[[#This Row],[Micro 5 - F1]]</f>
        <v>40.598329779519986</v>
      </c>
      <c r="L26" s="16">
        <v>5</v>
      </c>
      <c r="M26" s="17">
        <f t="shared" si="1"/>
        <v>40.714775888036094</v>
      </c>
      <c r="O26" s="15">
        <v>5000</v>
      </c>
      <c r="P26" s="32">
        <f>Table9[[#This Row],[Micro 1 - F2]]</f>
        <v>39.484888238597001</v>
      </c>
      <c r="Q26" s="32">
        <f>Table9[[#This Row],[Micro 2 - F2]]</f>
        <v>40.445147153564008</v>
      </c>
      <c r="R26" s="32">
        <f>Table9[[#This Row],[Micro 3 - F2]]</f>
        <v>40.462085665975302</v>
      </c>
      <c r="S26" s="32">
        <f>Table9[[#This Row],[Micro 4 - F2]]</f>
        <v>43.341050586093864</v>
      </c>
      <c r="T26" s="32">
        <f>Table9[[#This Row],[Micro 5 - F2]]</f>
        <v>40.499934133122167</v>
      </c>
      <c r="U26" s="16">
        <v>5</v>
      </c>
      <c r="V26" s="17">
        <f t="shared" si="2"/>
        <v>41.06437383021138</v>
      </c>
    </row>
    <row r="29" spans="2:22" x14ac:dyDescent="0.2">
      <c r="B29" s="155" t="s">
        <v>43</v>
      </c>
      <c r="C29" s="156"/>
      <c r="F29" s="159" t="s">
        <v>43</v>
      </c>
      <c r="G29" s="160"/>
      <c r="H29" s="160"/>
      <c r="I29" s="160"/>
      <c r="J29" s="160"/>
      <c r="K29" s="160"/>
      <c r="L29" s="160"/>
      <c r="M29" s="161"/>
      <c r="O29" s="159" t="s">
        <v>43</v>
      </c>
      <c r="P29" s="160"/>
      <c r="Q29" s="160"/>
      <c r="R29" s="160"/>
      <c r="S29" s="160"/>
      <c r="T29" s="160"/>
      <c r="U29" s="160"/>
      <c r="V29" s="161"/>
    </row>
    <row r="30" spans="2:22" x14ac:dyDescent="0.2">
      <c r="B30" s="157" t="s">
        <v>62</v>
      </c>
      <c r="C30" s="158"/>
      <c r="F30" s="162" t="s">
        <v>25</v>
      </c>
      <c r="G30" s="163"/>
      <c r="H30" s="163"/>
      <c r="I30" s="163"/>
      <c r="J30" s="163"/>
      <c r="K30" s="163"/>
      <c r="L30" s="163"/>
      <c r="M30" s="164"/>
      <c r="O30" s="162" t="s">
        <v>28</v>
      </c>
      <c r="P30" s="163"/>
      <c r="Q30" s="163"/>
      <c r="R30" s="163"/>
      <c r="S30" s="163"/>
      <c r="T30" s="163"/>
      <c r="U30" s="163"/>
      <c r="V30" s="164"/>
    </row>
    <row r="31" spans="2:22" ht="34" x14ac:dyDescent="0.2">
      <c r="B31" s="9" t="s">
        <v>20</v>
      </c>
      <c r="C31" s="36" t="s">
        <v>63</v>
      </c>
      <c r="F31" s="9" t="s">
        <v>20</v>
      </c>
      <c r="G31" s="2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11" t="s">
        <v>26</v>
      </c>
      <c r="M31" s="12" t="s">
        <v>27</v>
      </c>
      <c r="O31" s="9" t="s">
        <v>20</v>
      </c>
      <c r="P31" s="25" t="s">
        <v>69</v>
      </c>
      <c r="Q31" s="25" t="s">
        <v>70</v>
      </c>
      <c r="R31" s="25" t="s">
        <v>71</v>
      </c>
      <c r="S31" s="25" t="s">
        <v>72</v>
      </c>
      <c r="T31" s="25" t="s">
        <v>73</v>
      </c>
      <c r="U31" s="11" t="s">
        <v>26</v>
      </c>
      <c r="V31" s="12" t="s">
        <v>49</v>
      </c>
    </row>
    <row r="32" spans="2:22" x14ac:dyDescent="0.2">
      <c r="B32" s="13">
        <v>50</v>
      </c>
      <c r="C32" s="37">
        <f>Datos!E139</f>
        <v>28.254371115550903</v>
      </c>
      <c r="E32" s="5">
        <f>LOG10(F32)</f>
        <v>1.6989700043360187</v>
      </c>
      <c r="F32" s="13">
        <v>50</v>
      </c>
      <c r="G32" s="31">
        <f>Datos!D33</f>
        <v>70.39108672899539</v>
      </c>
      <c r="H32" s="31">
        <f>Datos!E33</f>
        <v>64.764941186091434</v>
      </c>
      <c r="I32" s="31">
        <f>Datos!F33</f>
        <v>74.159870448214136</v>
      </c>
      <c r="J32" s="31">
        <f>Datos!G33</f>
        <v>75.28042299097234</v>
      </c>
      <c r="K32" s="31">
        <f>Datos!H33</f>
        <v>72.580992649035821</v>
      </c>
      <c r="L32" s="18">
        <v>5</v>
      </c>
      <c r="M32" s="14">
        <f t="shared" ref="M32:M52" si="3">10*LOG10((10^($G32/10)+10^($H32/10)+10^($I32/10)+10^($J32/10)+10^($K32/10))/$L32)</f>
        <v>72.641010619606988</v>
      </c>
      <c r="O32" s="13">
        <v>50</v>
      </c>
      <c r="P32" s="31">
        <f>Datos!I33</f>
        <v>69.577585923807703</v>
      </c>
      <c r="Q32" s="31">
        <f>Datos!J33</f>
        <v>57.868792752839582</v>
      </c>
      <c r="R32" s="31">
        <f>Datos!K33</f>
        <v>73.089658779404971</v>
      </c>
      <c r="S32" s="31">
        <f>Datos!L33</f>
        <v>74.370988504318959</v>
      </c>
      <c r="T32" s="31">
        <f>Datos!M33</f>
        <v>67.560379395471159</v>
      </c>
      <c r="U32" s="18">
        <v>5</v>
      </c>
      <c r="V32" s="14">
        <f>10*LOG10((10^($P32/10)+10^($Q32/10)+10^($R32/10)+10^($S32/10)+10^($T32/10))/$U32)</f>
        <v>71.011640659216425</v>
      </c>
    </row>
    <row r="33" spans="2:22" x14ac:dyDescent="0.2">
      <c r="B33" s="13">
        <v>63</v>
      </c>
      <c r="C33" s="37">
        <f>Datos!E140</f>
        <v>20.958510761675626</v>
      </c>
      <c r="E33" s="5">
        <f t="shared" ref="E33:E52" si="4">LOG10(F33)</f>
        <v>1.7993405494535817</v>
      </c>
      <c r="F33" s="13">
        <v>63</v>
      </c>
      <c r="G33" s="31">
        <f>Datos!D34</f>
        <v>63.485987478489172</v>
      </c>
      <c r="H33" s="31">
        <f>Datos!E34</f>
        <v>73.007383903877269</v>
      </c>
      <c r="I33" s="31">
        <f>Datos!F34</f>
        <v>75.655858737213734</v>
      </c>
      <c r="J33" s="31">
        <f>Datos!G34</f>
        <v>65.049472075520143</v>
      </c>
      <c r="K33" s="31">
        <f>Datos!H34</f>
        <v>71.905257505111976</v>
      </c>
      <c r="L33" s="18">
        <v>5</v>
      </c>
      <c r="M33" s="14">
        <f t="shared" si="3"/>
        <v>71.914584451858062</v>
      </c>
      <c r="O33" s="13">
        <v>63</v>
      </c>
      <c r="P33" s="31">
        <f>Datos!I34</f>
        <v>57.506203658680498</v>
      </c>
      <c r="Q33" s="31">
        <f>Datos!J34</f>
        <v>64.390547584084899</v>
      </c>
      <c r="R33" s="31">
        <f>Datos!K34</f>
        <v>69.440966979716123</v>
      </c>
      <c r="S33" s="31">
        <f>Datos!L34</f>
        <v>57.751129600888206</v>
      </c>
      <c r="T33" s="31">
        <f>Datos!M34</f>
        <v>65.381736035755438</v>
      </c>
      <c r="U33" s="18">
        <v>5</v>
      </c>
      <c r="V33" s="14">
        <f t="shared" ref="V33:V52" si="5">10*LOG10((10^($P33/10)+10^($Q33/10)+10^($R33/10)+10^($S33/10)+10^($T33/10))/$U33)</f>
        <v>65.092617551720139</v>
      </c>
    </row>
    <row r="34" spans="2:22" x14ac:dyDescent="0.2">
      <c r="B34" s="13">
        <v>80</v>
      </c>
      <c r="C34" s="37">
        <f>Datos!E141</f>
        <v>20.581794400146041</v>
      </c>
      <c r="E34" s="5">
        <f t="shared" si="4"/>
        <v>1.9030899869919435</v>
      </c>
      <c r="F34" s="13">
        <v>80</v>
      </c>
      <c r="G34" s="31">
        <f>Datos!D35</f>
        <v>77.672800440652537</v>
      </c>
      <c r="H34" s="31">
        <f>Datos!E35</f>
        <v>87.977681417863295</v>
      </c>
      <c r="I34" s="31">
        <f>Datos!F35</f>
        <v>85.680130803883358</v>
      </c>
      <c r="J34" s="31">
        <f>Datos!G35</f>
        <v>86.466065363450483</v>
      </c>
      <c r="K34" s="31">
        <f>Datos!H35</f>
        <v>77.840966341663915</v>
      </c>
      <c r="L34" s="18">
        <v>5</v>
      </c>
      <c r="M34" s="14">
        <f t="shared" si="3"/>
        <v>84.941860930615377</v>
      </c>
      <c r="O34" s="13">
        <v>80</v>
      </c>
      <c r="P34" s="31">
        <f>Datos!I35</f>
        <v>71.877005167333792</v>
      </c>
      <c r="Q34" s="31">
        <f>Datos!J35</f>
        <v>78.684240721208553</v>
      </c>
      <c r="R34" s="31">
        <f>Datos!K35</f>
        <v>77.007555420979273</v>
      </c>
      <c r="S34" s="31">
        <f>Datos!L35</f>
        <v>78.704069700695214</v>
      </c>
      <c r="T34" s="31">
        <f>Datos!M35</f>
        <v>75.002937103947048</v>
      </c>
      <c r="U34" s="18">
        <v>5</v>
      </c>
      <c r="V34" s="14">
        <f t="shared" si="5"/>
        <v>76.907621959793659</v>
      </c>
    </row>
    <row r="35" spans="2:22" x14ac:dyDescent="0.2">
      <c r="B35" s="13">
        <v>100</v>
      </c>
      <c r="C35" s="37">
        <f>Datos!E142</f>
        <v>21.080927309782609</v>
      </c>
      <c r="E35" s="5">
        <f t="shared" si="4"/>
        <v>2</v>
      </c>
      <c r="F35" s="13">
        <v>100</v>
      </c>
      <c r="G35" s="31">
        <f>Datos!D36</f>
        <v>76.392002109215824</v>
      </c>
      <c r="H35" s="31">
        <f>Datos!E36</f>
        <v>80.952213384278679</v>
      </c>
      <c r="I35" s="31">
        <f>Datos!F36</f>
        <v>74.351525010611851</v>
      </c>
      <c r="J35" s="31">
        <f>Datos!G36</f>
        <v>78.666765364733607</v>
      </c>
      <c r="K35" s="31">
        <f>Datos!H36</f>
        <v>79.538320718644727</v>
      </c>
      <c r="L35" s="18">
        <v>5</v>
      </c>
      <c r="M35" s="14">
        <f t="shared" si="3"/>
        <v>78.558868239726365</v>
      </c>
      <c r="O35" s="13">
        <v>100</v>
      </c>
      <c r="P35" s="31">
        <f>Datos!I36</f>
        <v>71.512278400899788</v>
      </c>
      <c r="Q35" s="31">
        <f>Datos!J36</f>
        <v>77.412630866555602</v>
      </c>
      <c r="R35" s="31">
        <f>Datos!K36</f>
        <v>73.025628076136627</v>
      </c>
      <c r="S35" s="31">
        <f>Datos!L36</f>
        <v>76.215222654796776</v>
      </c>
      <c r="T35" s="31">
        <f>Datos!M36</f>
        <v>74.913360867394744</v>
      </c>
      <c r="U35" s="18">
        <v>5</v>
      </c>
      <c r="V35" s="14">
        <f t="shared" si="5"/>
        <v>75.110318786335966</v>
      </c>
    </row>
    <row r="36" spans="2:22" x14ac:dyDescent="0.2">
      <c r="B36" s="13">
        <v>125</v>
      </c>
      <c r="C36" s="37">
        <f>Datos!E143</f>
        <v>21.410328520668877</v>
      </c>
      <c r="E36" s="5">
        <f t="shared" si="4"/>
        <v>2.0969100130080562</v>
      </c>
      <c r="F36" s="13">
        <v>125</v>
      </c>
      <c r="G36" s="31">
        <f>Datos!D37</f>
        <v>77.123796601378672</v>
      </c>
      <c r="H36" s="31">
        <f>Datos!E37</f>
        <v>80.268332798121847</v>
      </c>
      <c r="I36" s="31">
        <f>Datos!F37</f>
        <v>72.638684729716644</v>
      </c>
      <c r="J36" s="31">
        <f>Datos!G37</f>
        <v>79.750114657662138</v>
      </c>
      <c r="K36" s="31">
        <f>Datos!H37</f>
        <v>81.348044994595327</v>
      </c>
      <c r="L36" s="18">
        <v>5</v>
      </c>
      <c r="M36" s="14">
        <f t="shared" si="3"/>
        <v>79.10738230819544</v>
      </c>
      <c r="O36" s="13">
        <v>125</v>
      </c>
      <c r="P36" s="31">
        <f>Datos!I37</f>
        <v>71.386758187877817</v>
      </c>
      <c r="Q36" s="31">
        <f>Datos!J37</f>
        <v>75.338724263026549</v>
      </c>
      <c r="R36" s="31">
        <f>Datos!K37</f>
        <v>71.852697040165012</v>
      </c>
      <c r="S36" s="31">
        <f>Datos!L37</f>
        <v>74.02930512201219</v>
      </c>
      <c r="T36" s="31">
        <f>Datos!M37</f>
        <v>75.702756975337337</v>
      </c>
      <c r="U36" s="18">
        <v>5</v>
      </c>
      <c r="V36" s="14">
        <f t="shared" si="5"/>
        <v>74.004901667619393</v>
      </c>
    </row>
    <row r="37" spans="2:22" x14ac:dyDescent="0.2">
      <c r="B37" s="13">
        <v>160</v>
      </c>
      <c r="C37" s="37">
        <f>Datos!E144</f>
        <v>20.707785774544242</v>
      </c>
      <c r="E37" s="5">
        <f t="shared" si="4"/>
        <v>2.2041199826559246</v>
      </c>
      <c r="F37" s="13">
        <v>160</v>
      </c>
      <c r="G37" s="31">
        <f>Datos!D38</f>
        <v>79.97998269661727</v>
      </c>
      <c r="H37" s="31">
        <f>Datos!E38</f>
        <v>78.615469418506663</v>
      </c>
      <c r="I37" s="31">
        <f>Datos!F38</f>
        <v>76.235560136994792</v>
      </c>
      <c r="J37" s="31">
        <f>Datos!G38</f>
        <v>79.878743626854643</v>
      </c>
      <c r="K37" s="31">
        <f>Datos!H38</f>
        <v>80.031559252827577</v>
      </c>
      <c r="L37" s="18">
        <v>5</v>
      </c>
      <c r="M37" s="14">
        <f t="shared" si="3"/>
        <v>79.161883710248901</v>
      </c>
      <c r="O37" s="13">
        <v>160</v>
      </c>
      <c r="P37" s="31">
        <f>Datos!I38</f>
        <v>87.156858001825015</v>
      </c>
      <c r="Q37" s="31">
        <f>Datos!J38</f>
        <v>86.709399641351865</v>
      </c>
      <c r="R37" s="31">
        <f>Datos!K38</f>
        <v>86.492400418117256</v>
      </c>
      <c r="S37" s="31">
        <f>Datos!L38</f>
        <v>90.298661295572913</v>
      </c>
      <c r="T37" s="31">
        <f>Datos!M38</f>
        <v>89.352867478929653</v>
      </c>
      <c r="U37" s="18">
        <v>5</v>
      </c>
      <c r="V37" s="14">
        <f t="shared" si="5"/>
        <v>88.282760310431541</v>
      </c>
    </row>
    <row r="38" spans="2:22" x14ac:dyDescent="0.2">
      <c r="B38" s="13">
        <v>200</v>
      </c>
      <c r="C38" s="37">
        <f>Datos!E145</f>
        <v>20.671427330533088</v>
      </c>
      <c r="E38" s="5">
        <f t="shared" si="4"/>
        <v>2.3010299956639813</v>
      </c>
      <c r="F38" s="13">
        <v>200</v>
      </c>
      <c r="G38" s="31">
        <f>Datos!D39</f>
        <v>85.345071867915664</v>
      </c>
      <c r="H38" s="31">
        <f>Datos!E39</f>
        <v>77.21757397244933</v>
      </c>
      <c r="I38" s="31">
        <f>Datos!F39</f>
        <v>81.063177064572145</v>
      </c>
      <c r="J38" s="31">
        <f>Datos!G39</f>
        <v>84.1359903234424</v>
      </c>
      <c r="K38" s="31">
        <f>Datos!H39</f>
        <v>85.638231802163958</v>
      </c>
      <c r="L38" s="18">
        <v>5</v>
      </c>
      <c r="M38" s="14">
        <f t="shared" si="3"/>
        <v>83.610766000109493</v>
      </c>
      <c r="O38" s="13">
        <v>200</v>
      </c>
      <c r="P38" s="31">
        <f>Datos!I39</f>
        <v>89.502060523957809</v>
      </c>
      <c r="Q38" s="31">
        <f>Datos!J39</f>
        <v>87.979554728267317</v>
      </c>
      <c r="R38" s="31">
        <f>Datos!K39</f>
        <v>90.688100636751173</v>
      </c>
      <c r="S38" s="31">
        <f>Datos!L39</f>
        <v>89.723884357270734</v>
      </c>
      <c r="T38" s="31">
        <f>Datos!M39</f>
        <v>88.395363911398334</v>
      </c>
      <c r="U38" s="18">
        <v>5</v>
      </c>
      <c r="V38" s="14">
        <f t="shared" si="5"/>
        <v>89.365986295148204</v>
      </c>
    </row>
    <row r="39" spans="2:22" x14ac:dyDescent="0.2">
      <c r="B39" s="13">
        <v>250</v>
      </c>
      <c r="C39" s="37">
        <f>Datos!E146</f>
        <v>20.990640870614904</v>
      </c>
      <c r="E39" s="5">
        <f t="shared" si="4"/>
        <v>2.3979400086720375</v>
      </c>
      <c r="F39" s="13">
        <v>250</v>
      </c>
      <c r="G39" s="31">
        <f>Datos!D40</f>
        <v>81.906055776212497</v>
      </c>
      <c r="H39" s="31">
        <f>Datos!E40</f>
        <v>77.906141699983081</v>
      </c>
      <c r="I39" s="31">
        <f>Datos!F40</f>
        <v>77.340262892955536</v>
      </c>
      <c r="J39" s="31">
        <f>Datos!G40</f>
        <v>82.88055621493946</v>
      </c>
      <c r="K39" s="31">
        <f>Datos!H40</f>
        <v>81.41171588684989</v>
      </c>
      <c r="L39" s="18">
        <v>5</v>
      </c>
      <c r="M39" s="14">
        <f t="shared" si="3"/>
        <v>80.81759560779571</v>
      </c>
      <c r="O39" s="13">
        <v>250</v>
      </c>
      <c r="P39" s="31">
        <f>Datos!I40</f>
        <v>89.336040388042036</v>
      </c>
      <c r="Q39" s="31">
        <f>Datos!J40</f>
        <v>89.135719212454234</v>
      </c>
      <c r="R39" s="31">
        <f>Datos!K40</f>
        <v>93.724913148265031</v>
      </c>
      <c r="S39" s="31">
        <f>Datos!L40</f>
        <v>95.050279170445037</v>
      </c>
      <c r="T39" s="31">
        <f>Datos!M40</f>
        <v>93.726895535187268</v>
      </c>
      <c r="U39" s="18">
        <v>5</v>
      </c>
      <c r="V39" s="14">
        <f t="shared" si="5"/>
        <v>92.830017022862876</v>
      </c>
    </row>
    <row r="40" spans="2:22" x14ac:dyDescent="0.2">
      <c r="B40" s="13">
        <v>315</v>
      </c>
      <c r="C40" s="37">
        <f>Datos!E147</f>
        <v>20.802814847605241</v>
      </c>
      <c r="E40" s="5">
        <f t="shared" si="4"/>
        <v>2.4983105537896004</v>
      </c>
      <c r="F40" s="13">
        <v>315</v>
      </c>
      <c r="G40" s="31">
        <f>Datos!D41</f>
        <v>83.82522208894251</v>
      </c>
      <c r="H40" s="31">
        <f>Datos!E41</f>
        <v>82.807474783674124</v>
      </c>
      <c r="I40" s="31">
        <f>Datos!F41</f>
        <v>77.354698273072756</v>
      </c>
      <c r="J40" s="31">
        <f>Datos!G41</f>
        <v>83.065765482006654</v>
      </c>
      <c r="K40" s="31">
        <f>Datos!H41</f>
        <v>81.287866833484742</v>
      </c>
      <c r="L40" s="18">
        <v>5</v>
      </c>
      <c r="M40" s="14">
        <f t="shared" si="3"/>
        <v>82.167617538218153</v>
      </c>
      <c r="O40" s="13">
        <v>315</v>
      </c>
      <c r="P40" s="31">
        <f>Datos!I41</f>
        <v>86.697974244904614</v>
      </c>
      <c r="Q40" s="31">
        <f>Datos!J41</f>
        <v>88.715708680125744</v>
      </c>
      <c r="R40" s="31">
        <f>Datos!K41</f>
        <v>86.326230442902585</v>
      </c>
      <c r="S40" s="31">
        <f>Datos!L41</f>
        <v>86.371459575834734</v>
      </c>
      <c r="T40" s="31">
        <f>Datos!M41</f>
        <v>89.340914134226594</v>
      </c>
      <c r="U40" s="18">
        <v>5</v>
      </c>
      <c r="V40" s="14">
        <f t="shared" si="5"/>
        <v>87.684202613409937</v>
      </c>
    </row>
    <row r="41" spans="2:22" x14ac:dyDescent="0.2">
      <c r="B41" s="13">
        <v>400</v>
      </c>
      <c r="C41" s="37">
        <f>Datos!E148</f>
        <v>21.34892895832154</v>
      </c>
      <c r="E41" s="5">
        <f t="shared" si="4"/>
        <v>2.6020599913279625</v>
      </c>
      <c r="F41" s="13">
        <v>400</v>
      </c>
      <c r="G41" s="31">
        <f>Datos!D42</f>
        <v>78.828243896652509</v>
      </c>
      <c r="H41" s="31">
        <f>Datos!E42</f>
        <v>77.616670487364061</v>
      </c>
      <c r="I41" s="31">
        <f>Datos!F42</f>
        <v>75.890918006932324</v>
      </c>
      <c r="J41" s="31">
        <f>Datos!G42</f>
        <v>77.199660893642545</v>
      </c>
      <c r="K41" s="31">
        <f>Datos!H42</f>
        <v>78.533883814474905</v>
      </c>
      <c r="L41" s="18">
        <v>5</v>
      </c>
      <c r="M41" s="14">
        <f t="shared" si="3"/>
        <v>77.73445560488112</v>
      </c>
      <c r="O41" s="13">
        <v>400</v>
      </c>
      <c r="P41" s="31">
        <f>Datos!I42</f>
        <v>84.015156314400215</v>
      </c>
      <c r="Q41" s="31">
        <f>Datos!J42</f>
        <v>85.163059487967161</v>
      </c>
      <c r="R41" s="31">
        <f>Datos!K42</f>
        <v>84.153329572044271</v>
      </c>
      <c r="S41" s="31">
        <f>Datos!L42</f>
        <v>86.964862242199132</v>
      </c>
      <c r="T41" s="31">
        <f>Datos!M42</f>
        <v>87.122142670588275</v>
      </c>
      <c r="U41" s="18">
        <v>5</v>
      </c>
      <c r="V41" s="14">
        <f t="shared" si="5"/>
        <v>85.689617044029646</v>
      </c>
    </row>
    <row r="42" spans="2:22" x14ac:dyDescent="0.2">
      <c r="B42" s="13">
        <v>500</v>
      </c>
      <c r="C42" s="37">
        <f>Datos!E149</f>
        <v>21.626016778070568</v>
      </c>
      <c r="E42" s="5">
        <f t="shared" si="4"/>
        <v>2.6989700043360187</v>
      </c>
      <c r="F42" s="13">
        <v>500</v>
      </c>
      <c r="G42" s="31">
        <f>Datos!D43</f>
        <v>76.178244381458853</v>
      </c>
      <c r="H42" s="31">
        <f>Datos!E43</f>
        <v>74.967125776675132</v>
      </c>
      <c r="I42" s="31">
        <f>Datos!F43</f>
        <v>75.658110200530189</v>
      </c>
      <c r="J42" s="31">
        <f>Datos!G43</f>
        <v>77.409443501270175</v>
      </c>
      <c r="K42" s="31">
        <f>Datos!H43</f>
        <v>76.456645845037414</v>
      </c>
      <c r="L42" s="18">
        <v>5</v>
      </c>
      <c r="M42" s="14">
        <f t="shared" si="3"/>
        <v>76.210894250399278</v>
      </c>
      <c r="O42" s="13">
        <v>500</v>
      </c>
      <c r="P42" s="31">
        <f>Datos!I43</f>
        <v>79.713752050363524</v>
      </c>
      <c r="Q42" s="31">
        <f>Datos!J43</f>
        <v>79.778202281278723</v>
      </c>
      <c r="R42" s="31">
        <f>Datos!K43</f>
        <v>81.37723579443454</v>
      </c>
      <c r="S42" s="31">
        <f>Datos!L43</f>
        <v>84.667244349888392</v>
      </c>
      <c r="T42" s="31">
        <f>Datos!M43</f>
        <v>81.62980966870893</v>
      </c>
      <c r="U42" s="18">
        <v>5</v>
      </c>
      <c r="V42" s="14">
        <f t="shared" si="5"/>
        <v>81.843519629384659</v>
      </c>
    </row>
    <row r="43" spans="2:22" x14ac:dyDescent="0.2">
      <c r="B43" s="13">
        <v>630</v>
      </c>
      <c r="C43" s="37">
        <f>Datos!E150</f>
        <v>22.256093413357572</v>
      </c>
      <c r="E43" s="5">
        <f t="shared" si="4"/>
        <v>2.7993405494535817</v>
      </c>
      <c r="F43" s="13">
        <v>630</v>
      </c>
      <c r="G43" s="31">
        <f>Datos!D44</f>
        <v>72.916478411882053</v>
      </c>
      <c r="H43" s="31">
        <f>Datos!E44</f>
        <v>73.914128242949602</v>
      </c>
      <c r="I43" s="31">
        <f>Datos!F44</f>
        <v>74.41388149455922</v>
      </c>
      <c r="J43" s="31">
        <f>Datos!G44</f>
        <v>75.452490878827646</v>
      </c>
      <c r="K43" s="31">
        <f>Datos!H44</f>
        <v>76.177490482543035</v>
      </c>
      <c r="L43" s="18">
        <v>5</v>
      </c>
      <c r="M43" s="14">
        <f t="shared" si="3"/>
        <v>74.724546781159404</v>
      </c>
      <c r="O43" s="13">
        <v>630</v>
      </c>
      <c r="P43" s="31">
        <f>Datos!I44</f>
        <v>79.222846136346973</v>
      </c>
      <c r="Q43" s="31">
        <f>Datos!J44</f>
        <v>80.186580296033242</v>
      </c>
      <c r="R43" s="31">
        <f>Datos!K44</f>
        <v>79.1320830373608</v>
      </c>
      <c r="S43" s="31">
        <f>Datos!L44</f>
        <v>81.481990240187869</v>
      </c>
      <c r="T43" s="31">
        <f>Datos!M44</f>
        <v>78.650361649455419</v>
      </c>
      <c r="U43" s="18">
        <v>5</v>
      </c>
      <c r="V43" s="14">
        <f t="shared" si="5"/>
        <v>79.857392825372926</v>
      </c>
    </row>
    <row r="44" spans="2:22" x14ac:dyDescent="0.2">
      <c r="B44" s="13">
        <v>800</v>
      </c>
      <c r="C44" s="37">
        <f>Datos!E151</f>
        <v>22.648568699325342</v>
      </c>
      <c r="E44" s="5">
        <f t="shared" si="4"/>
        <v>2.9030899869919438</v>
      </c>
      <c r="F44" s="13">
        <v>800</v>
      </c>
      <c r="G44" s="31">
        <f>Datos!D45</f>
        <v>73.362840797837663</v>
      </c>
      <c r="H44" s="31">
        <f>Datos!E45</f>
        <v>72.836248110513296</v>
      </c>
      <c r="I44" s="31">
        <f>Datos!F45</f>
        <v>72.79275531079395</v>
      </c>
      <c r="J44" s="31">
        <f>Datos!G45</f>
        <v>76.066355791958898</v>
      </c>
      <c r="K44" s="31">
        <f>Datos!H45</f>
        <v>75.030072151949852</v>
      </c>
      <c r="L44" s="18">
        <v>5</v>
      </c>
      <c r="M44" s="14">
        <f t="shared" si="3"/>
        <v>74.222435228174405</v>
      </c>
      <c r="O44" s="13">
        <v>800</v>
      </c>
      <c r="P44" s="31">
        <f>Datos!I45</f>
        <v>76.649410276811835</v>
      </c>
      <c r="Q44" s="31">
        <f>Datos!J45</f>
        <v>78.713848939204354</v>
      </c>
      <c r="R44" s="31">
        <f>Datos!K45</f>
        <v>77.955278369070129</v>
      </c>
      <c r="S44" s="31">
        <f>Datos!L45</f>
        <v>80.868830428350535</v>
      </c>
      <c r="T44" s="31">
        <f>Datos!M45</f>
        <v>78.812053331626615</v>
      </c>
      <c r="U44" s="18">
        <v>5</v>
      </c>
      <c r="V44" s="14">
        <f t="shared" si="5"/>
        <v>78.82256485754769</v>
      </c>
    </row>
    <row r="45" spans="2:22" x14ac:dyDescent="0.2">
      <c r="B45" s="13">
        <v>1000</v>
      </c>
      <c r="C45" s="37">
        <f>Datos!E152</f>
        <v>23.166978794595469</v>
      </c>
      <c r="E45" s="5">
        <f t="shared" si="4"/>
        <v>3</v>
      </c>
      <c r="F45" s="13">
        <v>1000</v>
      </c>
      <c r="G45" s="31">
        <f>Datos!D46</f>
        <v>71.398210860043079</v>
      </c>
      <c r="H45" s="31">
        <f>Datos!E46</f>
        <v>72.547933180405749</v>
      </c>
      <c r="I45" s="31">
        <f>Datos!F46</f>
        <v>70.019335311027007</v>
      </c>
      <c r="J45" s="31">
        <f>Datos!G46</f>
        <v>74.155673503875732</v>
      </c>
      <c r="K45" s="31">
        <f>Datos!H46</f>
        <v>73.366796592797485</v>
      </c>
      <c r="L45" s="18">
        <v>5</v>
      </c>
      <c r="M45" s="14">
        <f t="shared" si="3"/>
        <v>72.531901701864896</v>
      </c>
      <c r="O45" s="13">
        <v>1000</v>
      </c>
      <c r="P45" s="31">
        <f>Datos!I46</f>
        <v>75.589278391558864</v>
      </c>
      <c r="Q45" s="31">
        <f>Datos!J46</f>
        <v>76.468249174403965</v>
      </c>
      <c r="R45" s="31">
        <f>Datos!K46</f>
        <v>75.717461586916414</v>
      </c>
      <c r="S45" s="31">
        <f>Datos!L46</f>
        <v>80.603040357317241</v>
      </c>
      <c r="T45" s="31">
        <f>Datos!M46</f>
        <v>77.804743703451152</v>
      </c>
      <c r="U45" s="18">
        <v>5</v>
      </c>
      <c r="V45" s="14">
        <f t="shared" si="5"/>
        <v>77.680192183373848</v>
      </c>
    </row>
    <row r="46" spans="2:22" x14ac:dyDescent="0.2">
      <c r="B46" s="13">
        <v>1250</v>
      </c>
      <c r="C46" s="37">
        <f>Datos!E153</f>
        <v>23.928737329400104</v>
      </c>
      <c r="E46" s="5">
        <f t="shared" si="4"/>
        <v>3.0969100130080562</v>
      </c>
      <c r="F46" s="13">
        <v>1250</v>
      </c>
      <c r="G46" s="31">
        <f>Datos!D47</f>
        <v>70.593796715154028</v>
      </c>
      <c r="H46" s="31">
        <f>Datos!E47</f>
        <v>70.63135176172274</v>
      </c>
      <c r="I46" s="31">
        <f>Datos!F47</f>
        <v>68.546001190383535</v>
      </c>
      <c r="J46" s="31">
        <f>Datos!G47</f>
        <v>72.982823357437596</v>
      </c>
      <c r="K46" s="31">
        <f>Datos!H47</f>
        <v>70.402580332135628</v>
      </c>
      <c r="L46" s="18">
        <v>5</v>
      </c>
      <c r="M46" s="14">
        <f t="shared" si="3"/>
        <v>70.865724856524878</v>
      </c>
      <c r="O46" s="13">
        <v>1250</v>
      </c>
      <c r="P46" s="31">
        <f>Datos!I47</f>
        <v>74.598128670522016</v>
      </c>
      <c r="Q46" s="31">
        <f>Datos!J47</f>
        <v>75.92319040461328</v>
      </c>
      <c r="R46" s="31">
        <f>Datos!K47</f>
        <v>74.65327649671832</v>
      </c>
      <c r="S46" s="31">
        <f>Datos!L47</f>
        <v>77.346406373523536</v>
      </c>
      <c r="T46" s="31">
        <f>Datos!M47</f>
        <v>75.380782001631204</v>
      </c>
      <c r="U46" s="18">
        <v>5</v>
      </c>
      <c r="V46" s="14">
        <f t="shared" si="5"/>
        <v>75.703974045589632</v>
      </c>
    </row>
    <row r="47" spans="2:22" x14ac:dyDescent="0.2">
      <c r="B47" s="13">
        <v>1600</v>
      </c>
      <c r="C47" s="37">
        <f>Datos!E154</f>
        <v>24.551068043363266</v>
      </c>
      <c r="E47" s="5">
        <f t="shared" si="4"/>
        <v>3.2041199826559246</v>
      </c>
      <c r="F47" s="13">
        <v>1600</v>
      </c>
      <c r="G47" s="31">
        <f>Datos!D48</f>
        <v>68.913077502430198</v>
      </c>
      <c r="H47" s="31">
        <f>Datos!E48</f>
        <v>69.936030393070837</v>
      </c>
      <c r="I47" s="31">
        <f>Datos!F48</f>
        <v>67.845776039102319</v>
      </c>
      <c r="J47" s="31">
        <f>Datos!G48</f>
        <v>71.962110685579702</v>
      </c>
      <c r="K47" s="31">
        <f>Datos!H48</f>
        <v>69.289933257829745</v>
      </c>
      <c r="L47" s="18">
        <v>5</v>
      </c>
      <c r="M47" s="14">
        <f t="shared" si="3"/>
        <v>69.816559492104318</v>
      </c>
      <c r="O47" s="13">
        <v>1600</v>
      </c>
      <c r="P47" s="31">
        <f>Datos!I48</f>
        <v>73.848110148208676</v>
      </c>
      <c r="Q47" s="31">
        <f>Datos!J48</f>
        <v>73.904786061064343</v>
      </c>
      <c r="R47" s="31">
        <f>Datos!K48</f>
        <v>74.041422597024166</v>
      </c>
      <c r="S47" s="31">
        <f>Datos!L48</f>
        <v>75.115850713820691</v>
      </c>
      <c r="T47" s="31">
        <f>Datos!M48</f>
        <v>74.746708066791612</v>
      </c>
      <c r="U47" s="18">
        <v>5</v>
      </c>
      <c r="V47" s="14">
        <f t="shared" si="5"/>
        <v>74.361568643150747</v>
      </c>
    </row>
    <row r="48" spans="2:22" x14ac:dyDescent="0.2">
      <c r="B48" s="13">
        <v>2000</v>
      </c>
      <c r="C48" s="37">
        <f>Datos!E155</f>
        <v>25.51529498491886</v>
      </c>
      <c r="E48" s="5">
        <f t="shared" si="4"/>
        <v>3.3010299956639813</v>
      </c>
      <c r="F48" s="13">
        <v>2000</v>
      </c>
      <c r="G48" s="31">
        <f>Datos!D49</f>
        <v>69.598085198520636</v>
      </c>
      <c r="H48" s="31">
        <f>Datos!E49</f>
        <v>69.145805289654461</v>
      </c>
      <c r="I48" s="31">
        <f>Datos!F49</f>
        <v>68.521355064187034</v>
      </c>
      <c r="J48" s="31">
        <f>Datos!G49</f>
        <v>72.699332056623518</v>
      </c>
      <c r="K48" s="31">
        <f>Datos!H49</f>
        <v>69.642013103102215</v>
      </c>
      <c r="L48" s="18">
        <v>5</v>
      </c>
      <c r="M48" s="14">
        <f t="shared" si="3"/>
        <v>70.192966399797342</v>
      </c>
      <c r="O48" s="13">
        <v>2000</v>
      </c>
      <c r="P48" s="31">
        <f>Datos!I49</f>
        <v>74.415051877271992</v>
      </c>
      <c r="Q48" s="31">
        <f>Datos!J49</f>
        <v>74.406046807652857</v>
      </c>
      <c r="R48" s="31">
        <f>Datos!K49</f>
        <v>74.248713694362252</v>
      </c>
      <c r="S48" s="31">
        <f>Datos!L49</f>
        <v>76.215660102480939</v>
      </c>
      <c r="T48" s="31">
        <f>Datos!M49</f>
        <v>73.791964768675001</v>
      </c>
      <c r="U48" s="18">
        <v>5</v>
      </c>
      <c r="V48" s="14">
        <f t="shared" si="5"/>
        <v>74.701147556731186</v>
      </c>
    </row>
    <row r="49" spans="2:22" x14ac:dyDescent="0.2">
      <c r="B49" s="13">
        <v>2500</v>
      </c>
      <c r="C49" s="37">
        <f>Datos!E156</f>
        <v>26.36517041662465</v>
      </c>
      <c r="E49" s="5">
        <f t="shared" si="4"/>
        <v>3.3979400086720375</v>
      </c>
      <c r="F49" s="13">
        <v>2500</v>
      </c>
      <c r="G49" s="31">
        <f>Datos!D50</f>
        <v>72.60540962744679</v>
      </c>
      <c r="H49" s="31">
        <f>Datos!E50</f>
        <v>73.482333707722901</v>
      </c>
      <c r="I49" s="31">
        <f>Datos!F50</f>
        <v>72.446233952675186</v>
      </c>
      <c r="J49" s="31">
        <f>Datos!G50</f>
        <v>77.665007533449113</v>
      </c>
      <c r="K49" s="31">
        <f>Datos!H50</f>
        <v>73.97921477817691</v>
      </c>
      <c r="L49" s="18">
        <v>5</v>
      </c>
      <c r="M49" s="14">
        <f t="shared" si="3"/>
        <v>74.517581132881617</v>
      </c>
      <c r="O49" s="13">
        <v>2500</v>
      </c>
      <c r="P49" s="31">
        <f>Datos!I50</f>
        <v>77.470998684263051</v>
      </c>
      <c r="Q49" s="31">
        <f>Datos!J50</f>
        <v>78.197784669937633</v>
      </c>
      <c r="R49" s="31">
        <f>Datos!K50</f>
        <v>77.958643945394741</v>
      </c>
      <c r="S49" s="31">
        <f>Datos!L50</f>
        <v>79.312020241873611</v>
      </c>
      <c r="T49" s="31">
        <f>Datos!M50</f>
        <v>78.015939846534465</v>
      </c>
      <c r="U49" s="18">
        <v>5</v>
      </c>
      <c r="V49" s="14">
        <f t="shared" si="5"/>
        <v>78.235664395254005</v>
      </c>
    </row>
    <row r="50" spans="2:22" x14ac:dyDescent="0.2">
      <c r="B50" s="13">
        <v>3150</v>
      </c>
      <c r="C50" s="37">
        <f>Datos!E157</f>
        <v>26.968118914083583</v>
      </c>
      <c r="E50" s="5">
        <f t="shared" si="4"/>
        <v>3.4983105537896004</v>
      </c>
      <c r="F50" s="13">
        <v>3150</v>
      </c>
      <c r="G50" s="31">
        <f>Datos!D51</f>
        <v>73.181693701485742</v>
      </c>
      <c r="H50" s="31">
        <f>Datos!E51</f>
        <v>72.90505953752411</v>
      </c>
      <c r="I50" s="31">
        <f>Datos!F51</f>
        <v>72.54752230356975</v>
      </c>
      <c r="J50" s="31">
        <f>Datos!G51</f>
        <v>77.595446637182519</v>
      </c>
      <c r="K50" s="31">
        <f>Datos!H51</f>
        <v>73.862869808664996</v>
      </c>
      <c r="L50" s="18">
        <v>5</v>
      </c>
      <c r="M50" s="14">
        <f t="shared" si="3"/>
        <v>74.4755031363824</v>
      </c>
      <c r="O50" s="13">
        <v>3150</v>
      </c>
      <c r="P50" s="31">
        <f>Datos!I51</f>
        <v>77.823327604808739</v>
      </c>
      <c r="Q50" s="31">
        <f>Datos!J51</f>
        <v>77.604501148781239</v>
      </c>
      <c r="R50" s="31">
        <f>Datos!K51</f>
        <v>78.187541825824113</v>
      </c>
      <c r="S50" s="31">
        <f>Datos!L51</f>
        <v>79.502942228771388</v>
      </c>
      <c r="T50" s="31">
        <f>Datos!M51</f>
        <v>78.518658128578693</v>
      </c>
      <c r="U50" s="18">
        <v>5</v>
      </c>
      <c r="V50" s="14">
        <f t="shared" si="5"/>
        <v>78.380289677082857</v>
      </c>
    </row>
    <row r="51" spans="2:22" x14ac:dyDescent="0.2">
      <c r="B51" s="13">
        <v>4000</v>
      </c>
      <c r="C51" s="37">
        <f>Datos!E158</f>
        <v>28.001040560035889</v>
      </c>
      <c r="E51" s="5">
        <f t="shared" si="4"/>
        <v>3.6020599913279625</v>
      </c>
      <c r="F51" s="13">
        <v>4000</v>
      </c>
      <c r="G51" s="31">
        <f>Datos!D52</f>
        <v>68.51699459191525</v>
      </c>
      <c r="H51" s="31">
        <f>Datos!E52</f>
        <v>68.342934575574148</v>
      </c>
      <c r="I51" s="31">
        <f>Datos!F52</f>
        <v>67.500428108731498</v>
      </c>
      <c r="J51" s="31">
        <f>Datos!G52</f>
        <v>73.040409369902179</v>
      </c>
      <c r="K51" s="31">
        <f>Datos!H52</f>
        <v>69.365799793966644</v>
      </c>
      <c r="L51" s="18">
        <v>5</v>
      </c>
      <c r="M51" s="14">
        <f t="shared" si="3"/>
        <v>69.853334112389319</v>
      </c>
      <c r="O51" s="13">
        <v>4000</v>
      </c>
      <c r="P51" s="31">
        <f>Datos!I52</f>
        <v>72.922943166000309</v>
      </c>
      <c r="Q51" s="31">
        <f>Datos!J52</f>
        <v>72.707411460225003</v>
      </c>
      <c r="R51" s="31">
        <f>Datos!K52</f>
        <v>72.8535290700639</v>
      </c>
      <c r="S51" s="31">
        <f>Datos!L52</f>
        <v>75.273584151495072</v>
      </c>
      <c r="T51" s="31">
        <f>Datos!M52</f>
        <v>72.691642687800297</v>
      </c>
      <c r="U51" s="18">
        <v>5</v>
      </c>
      <c r="V51" s="14">
        <f t="shared" si="5"/>
        <v>73.416692515661978</v>
      </c>
    </row>
    <row r="52" spans="2:22" x14ac:dyDescent="0.2">
      <c r="B52" s="15">
        <v>5000</v>
      </c>
      <c r="C52" s="37">
        <f>Datos!E159</f>
        <v>28.912661262180496</v>
      </c>
      <c r="E52" s="5">
        <f t="shared" si="4"/>
        <v>3.6989700043360187</v>
      </c>
      <c r="F52" s="15">
        <v>5000</v>
      </c>
      <c r="G52" s="32">
        <f>Datos!D53</f>
        <v>64.15712064422523</v>
      </c>
      <c r="H52" s="32">
        <f>Datos!E53</f>
        <v>65.412590677638661</v>
      </c>
      <c r="I52" s="32">
        <f>Datos!F53</f>
        <v>63.187919811146251</v>
      </c>
      <c r="J52" s="32">
        <f>Datos!G53</f>
        <v>67.937781839659721</v>
      </c>
      <c r="K52" s="32">
        <f>Datos!H53</f>
        <v>65.427338142820446</v>
      </c>
      <c r="L52" s="16">
        <v>5</v>
      </c>
      <c r="M52" s="17">
        <f t="shared" si="3"/>
        <v>65.532625240478296</v>
      </c>
      <c r="O52" s="15">
        <v>5000</v>
      </c>
      <c r="P52" s="32">
        <f>Datos!I53</f>
        <v>68.540454124769781</v>
      </c>
      <c r="Q52" s="32">
        <f>Datos!J53</f>
        <v>69.271480111514819</v>
      </c>
      <c r="R52" s="32">
        <f>Datos!K53</f>
        <v>68.3132004797516</v>
      </c>
      <c r="S52" s="32">
        <f>Datos!L53</f>
        <v>71.182481238955546</v>
      </c>
      <c r="T52" s="32">
        <f>Datos!M53</f>
        <v>69.474103426451407</v>
      </c>
      <c r="U52" s="16">
        <v>5</v>
      </c>
      <c r="V52" s="17">
        <f t="shared" si="5"/>
        <v>69.481371597887986</v>
      </c>
    </row>
    <row r="55" spans="2:22" x14ac:dyDescent="0.2">
      <c r="B55" s="155" t="s">
        <v>44</v>
      </c>
      <c r="C55" s="156"/>
      <c r="F55" s="159" t="s">
        <v>44</v>
      </c>
      <c r="G55" s="160"/>
      <c r="H55" s="160"/>
      <c r="I55" s="160"/>
      <c r="J55" s="160"/>
      <c r="K55" s="160"/>
      <c r="L55" s="160"/>
      <c r="M55" s="161"/>
      <c r="O55" s="159" t="s">
        <v>44</v>
      </c>
      <c r="P55" s="160"/>
      <c r="Q55" s="160"/>
      <c r="R55" s="160"/>
      <c r="S55" s="160"/>
      <c r="T55" s="160"/>
      <c r="U55" s="160"/>
      <c r="V55" s="161"/>
    </row>
    <row r="56" spans="2:22" x14ac:dyDescent="0.2">
      <c r="B56" s="157" t="s">
        <v>62</v>
      </c>
      <c r="C56" s="158"/>
      <c r="F56" s="162" t="s">
        <v>25</v>
      </c>
      <c r="G56" s="163"/>
      <c r="H56" s="163"/>
      <c r="I56" s="163"/>
      <c r="J56" s="163"/>
      <c r="K56" s="163"/>
      <c r="L56" s="163"/>
      <c r="M56" s="164"/>
      <c r="O56" s="162" t="s">
        <v>28</v>
      </c>
      <c r="P56" s="163"/>
      <c r="Q56" s="163"/>
      <c r="R56" s="163"/>
      <c r="S56" s="163"/>
      <c r="T56" s="163"/>
      <c r="U56" s="163"/>
      <c r="V56" s="164"/>
    </row>
    <row r="57" spans="2:22" ht="34" x14ac:dyDescent="0.2">
      <c r="B57" s="9" t="s">
        <v>20</v>
      </c>
      <c r="C57" s="36" t="s">
        <v>63</v>
      </c>
      <c r="F57" s="9" t="s">
        <v>20</v>
      </c>
      <c r="G57" s="25" t="s">
        <v>64</v>
      </c>
      <c r="H57" s="25" t="s">
        <v>65</v>
      </c>
      <c r="I57" s="25" t="s">
        <v>66</v>
      </c>
      <c r="J57" s="25" t="s">
        <v>67</v>
      </c>
      <c r="K57" s="25" t="s">
        <v>68</v>
      </c>
      <c r="L57" s="11" t="s">
        <v>26</v>
      </c>
      <c r="M57" s="12" t="s">
        <v>27</v>
      </c>
      <c r="O57" s="9" t="s">
        <v>20</v>
      </c>
      <c r="P57" s="25" t="s">
        <v>69</v>
      </c>
      <c r="Q57" s="25" t="s">
        <v>70</v>
      </c>
      <c r="R57" s="25" t="s">
        <v>71</v>
      </c>
      <c r="S57" s="25" t="s">
        <v>72</v>
      </c>
      <c r="T57" s="25" t="s">
        <v>73</v>
      </c>
      <c r="U57" s="11" t="s">
        <v>26</v>
      </c>
      <c r="V57" s="12" t="s">
        <v>49</v>
      </c>
    </row>
    <row r="58" spans="2:22" x14ac:dyDescent="0.2">
      <c r="B58" s="13">
        <v>50</v>
      </c>
      <c r="C58" s="37">
        <f>Datos!F139</f>
        <v>30.472388961003034</v>
      </c>
      <c r="E58" s="5">
        <f>LOG10(F58)</f>
        <v>1.6989700043360187</v>
      </c>
      <c r="F58" s="13">
        <v>50</v>
      </c>
      <c r="G58" s="31">
        <f>Datos!D61</f>
        <v>60.454596969046769</v>
      </c>
      <c r="H58" s="31">
        <f>Datos!E61</f>
        <v>50.128165698207866</v>
      </c>
      <c r="I58" s="31">
        <f>Datos!F61</f>
        <v>64.525906562805176</v>
      </c>
      <c r="J58" s="31">
        <f>Datos!G61</f>
        <v>65.89519756258899</v>
      </c>
      <c r="K58" s="31">
        <f>Datos!H61</f>
        <v>55.255314819848358</v>
      </c>
      <c r="L58" s="18">
        <v>5</v>
      </c>
      <c r="M58" s="14">
        <f>10*LOG10((10^(G58/10)+10^(H58/10)+10^(I58/10)+10^(J58/10)+10^(K58/10))/L58)</f>
        <v>62.185416690603134</v>
      </c>
      <c r="O58" s="13">
        <v>50</v>
      </c>
      <c r="P58" s="31">
        <f>Datos!I61</f>
        <v>58.059202816688256</v>
      </c>
      <c r="Q58" s="31">
        <f>Datos!J61</f>
        <v>51.839983904532836</v>
      </c>
      <c r="R58" s="31">
        <f>Datos!K61</f>
        <v>62.53906313700319</v>
      </c>
      <c r="S58" s="31">
        <f>Datos!L61</f>
        <v>63.995732064412827</v>
      </c>
      <c r="T58" s="31">
        <f>Datos!M61</f>
        <v>57.222826824096089</v>
      </c>
      <c r="U58" s="18">
        <v>5</v>
      </c>
      <c r="V58" s="14">
        <f>10*LOG10((10^(P58/10)+10^(Q58/10) +10^(R58/10)+10^(S58/10)+10^(T58/10)+10^($J32/10))/U58)</f>
        <v>68.960379500626274</v>
      </c>
    </row>
    <row r="59" spans="2:22" x14ac:dyDescent="0.2">
      <c r="B59" s="13">
        <v>63</v>
      </c>
      <c r="C59" s="37">
        <f>Datos!F140</f>
        <v>22.267898348691833</v>
      </c>
      <c r="E59" s="5">
        <f t="shared" ref="E59:E78" si="6">LOG10(F59)</f>
        <v>1.7993405494535817</v>
      </c>
      <c r="F59" s="13">
        <v>63</v>
      </c>
      <c r="G59" s="31">
        <f>Datos!D62</f>
        <v>57.178671614299226</v>
      </c>
      <c r="H59" s="31">
        <f>Datos!E62</f>
        <v>57.048753926099295</v>
      </c>
      <c r="I59" s="31">
        <f>Datos!F62</f>
        <v>57.59099417719348</v>
      </c>
      <c r="J59" s="31">
        <f>Datos!G62</f>
        <v>58.847520606208391</v>
      </c>
      <c r="K59" s="31">
        <f>Datos!H62</f>
        <v>52.624882858190965</v>
      </c>
      <c r="L59" s="18">
        <v>5</v>
      </c>
      <c r="M59" s="14">
        <f t="shared" ref="M59:M78" si="7">10*LOG10((10^(G59/10)+10^(H59/10)+10^(I59/10)+10^(J59/10)+10^(K59/10)/L59))</f>
        <v>63.814501536034562</v>
      </c>
      <c r="O59" s="13">
        <v>63</v>
      </c>
      <c r="P59" s="31">
        <f>Datos!I62</f>
        <v>58.252139435395186</v>
      </c>
      <c r="Q59" s="31">
        <f>Datos!J62</f>
        <v>58.723824485523281</v>
      </c>
      <c r="R59" s="31">
        <f>Datos!K62</f>
        <v>61.753420666861217</v>
      </c>
      <c r="S59" s="31">
        <f>Datos!L62</f>
        <v>60.33866054210884</v>
      </c>
      <c r="T59" s="31">
        <f>Datos!M62</f>
        <v>56.304466582957097</v>
      </c>
      <c r="U59" s="18">
        <v>5</v>
      </c>
      <c r="V59" s="14">
        <f t="shared" ref="V59:V78" si="8">10*LOG10((10^(P59/10)+10^(Q59/10))/U59)</f>
        <v>54.514982413269991</v>
      </c>
    </row>
    <row r="60" spans="2:22" x14ac:dyDescent="0.2">
      <c r="B60" s="13">
        <v>80</v>
      </c>
      <c r="C60" s="37">
        <f>Datos!F141</f>
        <v>20.676143210844369</v>
      </c>
      <c r="E60" s="5">
        <f t="shared" si="6"/>
        <v>1.9030899869919435</v>
      </c>
      <c r="F60" s="13">
        <v>80</v>
      </c>
      <c r="G60" s="31">
        <f>Datos!D63</f>
        <v>63.637904688255077</v>
      </c>
      <c r="H60" s="31">
        <f>Datos!E63</f>
        <v>59.515997932241021</v>
      </c>
      <c r="I60" s="31">
        <f>Datos!F63</f>
        <v>64.093276816766377</v>
      </c>
      <c r="J60" s="31">
        <f>Datos!G63</f>
        <v>60.169644363053884</v>
      </c>
      <c r="K60" s="31">
        <f>Datos!H63</f>
        <v>65.701220031994495</v>
      </c>
      <c r="L60" s="18">
        <v>5</v>
      </c>
      <c r="M60" s="14">
        <f t="shared" si="7"/>
        <v>68.782358243584639</v>
      </c>
      <c r="O60" s="13">
        <v>80</v>
      </c>
      <c r="P60" s="31">
        <f>Datos!I63</f>
        <v>54.581760852933499</v>
      </c>
      <c r="Q60" s="31">
        <f>Datos!J63</f>
        <v>65.037968419271223</v>
      </c>
      <c r="R60" s="31">
        <f>Datos!K63</f>
        <v>65.12557509673077</v>
      </c>
      <c r="S60" s="31">
        <f>Datos!L63</f>
        <v>63.779289934165689</v>
      </c>
      <c r="T60" s="31">
        <f>Datos!M63</f>
        <v>58.062060897016295</v>
      </c>
      <c r="U60" s="18">
        <v>5</v>
      </c>
      <c r="V60" s="14">
        <f t="shared" si="8"/>
        <v>58.422646271196641</v>
      </c>
    </row>
    <row r="61" spans="2:22" x14ac:dyDescent="0.2">
      <c r="B61" s="13">
        <v>100</v>
      </c>
      <c r="C61" s="37">
        <f>Datos!F142</f>
        <v>21.030046320328751</v>
      </c>
      <c r="E61" s="5">
        <f t="shared" si="6"/>
        <v>2</v>
      </c>
      <c r="F61" s="13">
        <v>100</v>
      </c>
      <c r="G61" s="31">
        <f>Datos!D64</f>
        <v>59.276321550564106</v>
      </c>
      <c r="H61" s="31">
        <f>Datos!E64</f>
        <v>58.896858344037845</v>
      </c>
      <c r="I61" s="31">
        <f>Datos!F64</f>
        <v>63.598545564088788</v>
      </c>
      <c r="J61" s="31">
        <f>Datos!G64</f>
        <v>54.255112309492269</v>
      </c>
      <c r="K61" s="31">
        <f>Datos!H64</f>
        <v>62.665552427519614</v>
      </c>
      <c r="L61" s="18">
        <v>5</v>
      </c>
      <c r="M61" s="14">
        <f t="shared" si="7"/>
        <v>66.578354993990104</v>
      </c>
      <c r="O61" s="13">
        <v>100</v>
      </c>
      <c r="P61" s="31">
        <f>Datos!I64</f>
        <v>57.964835975421941</v>
      </c>
      <c r="Q61" s="31">
        <f>Datos!J64</f>
        <v>58.187994461424616</v>
      </c>
      <c r="R61" s="31">
        <f>Datos!K64</f>
        <v>58.694426095417043</v>
      </c>
      <c r="S61" s="31">
        <f>Datos!L64</f>
        <v>56.686009362857774</v>
      </c>
      <c r="T61" s="31">
        <f>Datos!M64</f>
        <v>59.551285523492936</v>
      </c>
      <c r="U61" s="18">
        <v>5</v>
      </c>
      <c r="V61" s="14">
        <f t="shared" si="8"/>
        <v>54.098448324912283</v>
      </c>
    </row>
    <row r="62" spans="2:22" x14ac:dyDescent="0.2">
      <c r="B62" s="13">
        <v>125</v>
      </c>
      <c r="C62" s="37">
        <f>Datos!F143</f>
        <v>20.736984988381497</v>
      </c>
      <c r="E62" s="5">
        <f t="shared" si="6"/>
        <v>2.0969100130080562</v>
      </c>
      <c r="F62" s="13">
        <v>125</v>
      </c>
      <c r="G62" s="31">
        <f>Datos!D65</f>
        <v>63.671470255972409</v>
      </c>
      <c r="H62" s="31">
        <f>Datos!E65</f>
        <v>61.565944904016355</v>
      </c>
      <c r="I62" s="31">
        <f>Datos!F65</f>
        <v>61.820474321358049</v>
      </c>
      <c r="J62" s="31">
        <f>Datos!G65</f>
        <v>58.931159430787766</v>
      </c>
      <c r="K62" s="31">
        <f>Datos!H65</f>
        <v>60.518895391208019</v>
      </c>
      <c r="L62" s="18">
        <v>5</v>
      </c>
      <c r="M62" s="14">
        <f t="shared" si="7"/>
        <v>67.987170289641952</v>
      </c>
      <c r="O62" s="13">
        <v>125</v>
      </c>
      <c r="P62" s="31">
        <f>Datos!I65</f>
        <v>57.823178183340552</v>
      </c>
      <c r="Q62" s="31">
        <f>Datos!J65</f>
        <v>55.574418738698277</v>
      </c>
      <c r="R62" s="31">
        <f>Datos!K65</f>
        <v>58.312962669328627</v>
      </c>
      <c r="S62" s="31">
        <f>Datos!L65</f>
        <v>56.274867602757048</v>
      </c>
      <c r="T62" s="31">
        <f>Datos!M65</f>
        <v>56.552715835939857</v>
      </c>
      <c r="U62" s="18">
        <v>5</v>
      </c>
      <c r="V62" s="14">
        <f t="shared" si="8"/>
        <v>52.863350698814969</v>
      </c>
    </row>
    <row r="63" spans="2:22" x14ac:dyDescent="0.2">
      <c r="B63" s="13">
        <v>160</v>
      </c>
      <c r="C63" s="37">
        <f>Datos!F144</f>
        <v>22.40073432125012</v>
      </c>
      <c r="E63" s="5">
        <f t="shared" si="6"/>
        <v>2.2041199826559246</v>
      </c>
      <c r="F63" s="13">
        <v>160</v>
      </c>
      <c r="G63" s="31">
        <f>Datos!D66</f>
        <v>66.88263516484183</v>
      </c>
      <c r="H63" s="31">
        <f>Datos!E66</f>
        <v>66.998776468922287</v>
      </c>
      <c r="I63" s="31">
        <f>Datos!F66</f>
        <v>70.737569355873319</v>
      </c>
      <c r="J63" s="31">
        <f>Datos!G66</f>
        <v>67.368689773646935</v>
      </c>
      <c r="K63" s="31">
        <f>Datos!H66</f>
        <v>71.938024834020808</v>
      </c>
      <c r="L63" s="18">
        <v>5</v>
      </c>
      <c r="M63" s="14">
        <f t="shared" si="7"/>
        <v>74.817372685774586</v>
      </c>
      <c r="O63" s="13">
        <v>160</v>
      </c>
      <c r="P63" s="31">
        <f>Datos!I66</f>
        <v>72.833887189144633</v>
      </c>
      <c r="Q63" s="31">
        <f>Datos!J66</f>
        <v>73.143189630097751</v>
      </c>
      <c r="R63" s="31">
        <f>Datos!K66</f>
        <v>68.536543503832675</v>
      </c>
      <c r="S63" s="31">
        <f>Datos!L66</f>
        <v>77.198029219874087</v>
      </c>
      <c r="T63" s="31">
        <f>Datos!M66</f>
        <v>75.556177472837888</v>
      </c>
      <c r="U63" s="18">
        <v>5</v>
      </c>
      <c r="V63" s="14">
        <f t="shared" si="8"/>
        <v>69.011891287539044</v>
      </c>
    </row>
    <row r="64" spans="2:22" x14ac:dyDescent="0.2">
      <c r="B64" s="13">
        <v>200</v>
      </c>
      <c r="C64" s="37">
        <f>Datos!F145</f>
        <v>21.568157594720653</v>
      </c>
      <c r="E64" s="5">
        <f t="shared" si="6"/>
        <v>2.3010299956639813</v>
      </c>
      <c r="F64" s="13">
        <v>200</v>
      </c>
      <c r="G64" s="31">
        <f>Datos!D67</f>
        <v>68.721514679498497</v>
      </c>
      <c r="H64" s="31">
        <f>Datos!E67</f>
        <v>67.129084832889518</v>
      </c>
      <c r="I64" s="31">
        <f>Datos!F67</f>
        <v>63.285895877414276</v>
      </c>
      <c r="J64" s="31">
        <f>Datos!G67</f>
        <v>65.423030955190882</v>
      </c>
      <c r="K64" s="31">
        <f>Datos!H67</f>
        <v>71.466734501852912</v>
      </c>
      <c r="L64" s="18">
        <v>5</v>
      </c>
      <c r="M64" s="14">
        <f t="shared" si="7"/>
        <v>73.229083860402937</v>
      </c>
      <c r="O64" s="13">
        <v>200</v>
      </c>
      <c r="P64" s="31">
        <f>Datos!I67</f>
        <v>66.945986950091239</v>
      </c>
      <c r="Q64" s="31">
        <f>Datos!J67</f>
        <v>66.410217515133212</v>
      </c>
      <c r="R64" s="31">
        <f>Datos!K67</f>
        <v>63.166372394378719</v>
      </c>
      <c r="S64" s="31">
        <f>Datos!L67</f>
        <v>66.98956445009091</v>
      </c>
      <c r="T64" s="31">
        <f>Datos!M67</f>
        <v>70.444917024621645</v>
      </c>
      <c r="U64" s="18">
        <v>5</v>
      </c>
      <c r="V64" s="14">
        <f t="shared" si="8"/>
        <v>62.706958843205271</v>
      </c>
    </row>
    <row r="65" spans="2:22" x14ac:dyDescent="0.2">
      <c r="B65" s="13">
        <v>250</v>
      </c>
      <c r="C65" s="37">
        <f>Datos!F146</f>
        <v>21.298982481751899</v>
      </c>
      <c r="E65" s="5">
        <f t="shared" si="6"/>
        <v>2.3979400086720375</v>
      </c>
      <c r="F65" s="13">
        <v>250</v>
      </c>
      <c r="G65" s="31">
        <f>Datos!D68</f>
        <v>69.290923700448829</v>
      </c>
      <c r="H65" s="31">
        <f>Datos!E68</f>
        <v>69.381982247407123</v>
      </c>
      <c r="I65" s="31">
        <f>Datos!F68</f>
        <v>67.517353741145229</v>
      </c>
      <c r="J65" s="31">
        <f>Datos!G68</f>
        <v>71.15639316762676</v>
      </c>
      <c r="K65" s="31">
        <f>Datos!H68</f>
        <v>67.936660602911189</v>
      </c>
      <c r="L65" s="18">
        <v>5</v>
      </c>
      <c r="M65" s="14">
        <f t="shared" si="7"/>
        <v>75.694631686089892</v>
      </c>
      <c r="O65" s="13">
        <v>250</v>
      </c>
      <c r="P65" s="31">
        <f>Datos!I68</f>
        <v>70.699203367804941</v>
      </c>
      <c r="Q65" s="31">
        <f>Datos!J68</f>
        <v>70.417693420118127</v>
      </c>
      <c r="R65" s="31">
        <f>Datos!K68</f>
        <v>68.720285272872843</v>
      </c>
      <c r="S65" s="31">
        <f>Datos!L68</f>
        <v>73.279791703095313</v>
      </c>
      <c r="T65" s="31">
        <f>Datos!M68</f>
        <v>73.66371058957013</v>
      </c>
      <c r="U65" s="18">
        <v>5</v>
      </c>
      <c r="V65" s="14">
        <f t="shared" si="8"/>
        <v>66.581328844527576</v>
      </c>
    </row>
    <row r="66" spans="2:22" x14ac:dyDescent="0.2">
      <c r="B66" s="13">
        <v>315</v>
      </c>
      <c r="C66" s="37">
        <f>Datos!F147</f>
        <v>21.225326991317296</v>
      </c>
      <c r="E66" s="5">
        <f t="shared" si="6"/>
        <v>2.4983105537896004</v>
      </c>
      <c r="F66" s="13">
        <v>315</v>
      </c>
      <c r="G66" s="31">
        <f>Datos!D69</f>
        <v>70.026928123180952</v>
      </c>
      <c r="H66" s="31">
        <f>Datos!E69</f>
        <v>68.132987153787084</v>
      </c>
      <c r="I66" s="31">
        <f>Datos!F69</f>
        <v>66.810601797140421</v>
      </c>
      <c r="J66" s="31">
        <f>Datos!G69</f>
        <v>68.955190483850373</v>
      </c>
      <c r="K66" s="31">
        <f>Datos!H69</f>
        <v>67.136626933937649</v>
      </c>
      <c r="L66" s="18">
        <v>5</v>
      </c>
      <c r="M66" s="14">
        <f t="shared" si="7"/>
        <v>74.808993926225057</v>
      </c>
      <c r="O66" s="13">
        <v>315</v>
      </c>
      <c r="P66" s="31">
        <f>Datos!I69</f>
        <v>75.498272352282143</v>
      </c>
      <c r="Q66" s="31">
        <f>Datos!J69</f>
        <v>72.408174753873539</v>
      </c>
      <c r="R66" s="31">
        <f>Datos!K69</f>
        <v>73.577175499152773</v>
      </c>
      <c r="S66" s="31">
        <f>Datos!L69</f>
        <v>74.381606230864648</v>
      </c>
      <c r="T66" s="31">
        <f>Datos!M69</f>
        <v>76.229364220070948</v>
      </c>
      <c r="U66" s="18">
        <v>5</v>
      </c>
      <c r="V66" s="14">
        <f t="shared" si="8"/>
        <v>70.243048263523548</v>
      </c>
    </row>
    <row r="67" spans="2:22" x14ac:dyDescent="0.2">
      <c r="B67" s="13">
        <v>400</v>
      </c>
      <c r="C67" s="37">
        <f>Datos!F148</f>
        <v>21.294076292165961</v>
      </c>
      <c r="E67" s="5">
        <f t="shared" si="6"/>
        <v>2.6020599913279625</v>
      </c>
      <c r="F67" s="13">
        <v>400</v>
      </c>
      <c r="G67" s="31">
        <f>Datos!D70</f>
        <v>71.263737343356439</v>
      </c>
      <c r="H67" s="31">
        <f>Datos!E70</f>
        <v>67.355021493727619</v>
      </c>
      <c r="I67" s="31">
        <f>Datos!F70</f>
        <v>67.241723926588037</v>
      </c>
      <c r="J67" s="31">
        <f>Datos!G70</f>
        <v>68.547678794569649</v>
      </c>
      <c r="K67" s="31">
        <f>Datos!H70</f>
        <v>71.702370729019393</v>
      </c>
      <c r="L67" s="18">
        <v>5</v>
      </c>
      <c r="M67" s="14">
        <f t="shared" si="7"/>
        <v>75.344376956663737</v>
      </c>
      <c r="O67" s="13">
        <v>400</v>
      </c>
      <c r="P67" s="31">
        <f>Datos!I70</f>
        <v>71.823199097028123</v>
      </c>
      <c r="Q67" s="31">
        <f>Datos!J70</f>
        <v>72.801519125614433</v>
      </c>
      <c r="R67" s="31">
        <f>Datos!K70</f>
        <v>68.499388996790557</v>
      </c>
      <c r="S67" s="31">
        <f>Datos!L70</f>
        <v>69.578481792022828</v>
      </c>
      <c r="T67" s="31">
        <f>Datos!M70</f>
        <v>71.660882162932609</v>
      </c>
      <c r="U67" s="18">
        <v>5</v>
      </c>
      <c r="V67" s="14">
        <f t="shared" si="8"/>
        <v>68.360448816906242</v>
      </c>
    </row>
    <row r="68" spans="2:22" x14ac:dyDescent="0.2">
      <c r="B68" s="13">
        <v>500</v>
      </c>
      <c r="C68" s="37">
        <f>Datos!F149</f>
        <v>21.8937600034036</v>
      </c>
      <c r="E68" s="5">
        <f t="shared" si="6"/>
        <v>2.6989700043360187</v>
      </c>
      <c r="F68" s="13">
        <v>500</v>
      </c>
      <c r="G68" s="31">
        <f>Datos!D71</f>
        <v>67.826903024117527</v>
      </c>
      <c r="H68" s="31">
        <f>Datos!E71</f>
        <v>66.81637491728506</v>
      </c>
      <c r="I68" s="31">
        <f>Datos!F71</f>
        <v>63.808863197706671</v>
      </c>
      <c r="J68" s="31">
        <f>Datos!G71</f>
        <v>66.168231643793234</v>
      </c>
      <c r="K68" s="31">
        <f>Datos!H71</f>
        <v>66.358808296829906</v>
      </c>
      <c r="L68" s="18">
        <v>5</v>
      </c>
      <c r="M68" s="14">
        <f t="shared" si="7"/>
        <v>72.61839679768795</v>
      </c>
      <c r="O68" s="13">
        <v>500</v>
      </c>
      <c r="P68" s="31">
        <f>Datos!I71</f>
        <v>68.42692131093294</v>
      </c>
      <c r="Q68" s="31">
        <f>Datos!J71</f>
        <v>67.735312700043451</v>
      </c>
      <c r="R68" s="31">
        <f>Datos!K71</f>
        <v>67.795603856472965</v>
      </c>
      <c r="S68" s="31">
        <f>Datos!L71</f>
        <v>69.254591886601389</v>
      </c>
      <c r="T68" s="31">
        <f>Datos!M71</f>
        <v>69.470511837282046</v>
      </c>
      <c r="U68" s="18">
        <v>5</v>
      </c>
      <c r="V68" s="14">
        <f t="shared" si="8"/>
        <v>64.115469623230098</v>
      </c>
    </row>
    <row r="69" spans="2:22" x14ac:dyDescent="0.2">
      <c r="B69" s="13">
        <v>630</v>
      </c>
      <c r="C69" s="37">
        <f>Datos!F150</f>
        <v>22.332684398353166</v>
      </c>
      <c r="E69" s="5">
        <f t="shared" si="6"/>
        <v>2.7993405494535817</v>
      </c>
      <c r="F69" s="13">
        <v>630</v>
      </c>
      <c r="G69" s="31">
        <f>Datos!D72</f>
        <v>66.260528099682134</v>
      </c>
      <c r="H69" s="31">
        <f>Datos!E72</f>
        <v>67.31467765943961</v>
      </c>
      <c r="I69" s="31">
        <f>Datos!F72</f>
        <v>66.415926158656561</v>
      </c>
      <c r="J69" s="31">
        <f>Datos!G72</f>
        <v>65.04508521538655</v>
      </c>
      <c r="K69" s="31">
        <f>Datos!H72</f>
        <v>67.682015141444424</v>
      </c>
      <c r="L69" s="18">
        <v>5</v>
      </c>
      <c r="M69" s="14">
        <f t="shared" si="7"/>
        <v>72.639907296909044</v>
      </c>
      <c r="O69" s="13">
        <v>630</v>
      </c>
      <c r="P69" s="31">
        <f>Datos!I72</f>
        <v>65.272337513351076</v>
      </c>
      <c r="Q69" s="31">
        <f>Datos!J72</f>
        <v>67.405553067586069</v>
      </c>
      <c r="R69" s="31">
        <f>Datos!K72</f>
        <v>68.389992975685274</v>
      </c>
      <c r="S69" s="31">
        <f>Datos!L72</f>
        <v>67.087870763535662</v>
      </c>
      <c r="T69" s="31">
        <f>Datos!M72</f>
        <v>66.874240967386584</v>
      </c>
      <c r="U69" s="18">
        <v>5</v>
      </c>
      <c r="V69" s="14">
        <f t="shared" si="8"/>
        <v>62.489226352114684</v>
      </c>
    </row>
    <row r="70" spans="2:22" x14ac:dyDescent="0.2">
      <c r="B70" s="13">
        <v>800</v>
      </c>
      <c r="C70" s="37">
        <f>Datos!F151</f>
        <v>22.657495194404696</v>
      </c>
      <c r="E70" s="5">
        <f t="shared" si="6"/>
        <v>2.9030899869919438</v>
      </c>
      <c r="F70" s="13">
        <v>800</v>
      </c>
      <c r="G70" s="31">
        <f>Datos!D73</f>
        <v>62.202716827392578</v>
      </c>
      <c r="H70" s="31">
        <f>Datos!E73</f>
        <v>64.014897772834587</v>
      </c>
      <c r="I70" s="31">
        <f>Datos!F73</f>
        <v>62.565678048407896</v>
      </c>
      <c r="J70" s="31">
        <f>Datos!G73</f>
        <v>61.53211601635882</v>
      </c>
      <c r="K70" s="31">
        <f>Datos!H73</f>
        <v>63.725099289595192</v>
      </c>
      <c r="L70" s="18">
        <v>5</v>
      </c>
      <c r="M70" s="14">
        <f t="shared" si="7"/>
        <v>68.965871155351579</v>
      </c>
      <c r="O70" s="13">
        <v>800</v>
      </c>
      <c r="P70" s="31">
        <f>Datos!I73</f>
        <v>62.820728537925191</v>
      </c>
      <c r="Q70" s="31">
        <f>Datos!J73</f>
        <v>64.256330948241015</v>
      </c>
      <c r="R70" s="31">
        <f>Datos!K73</f>
        <v>64.247704159961785</v>
      </c>
      <c r="S70" s="31">
        <f>Datos!L73</f>
        <v>62.640708124315417</v>
      </c>
      <c r="T70" s="31">
        <f>Datos!M73</f>
        <v>64.223141553206148</v>
      </c>
      <c r="U70" s="18">
        <v>5</v>
      </c>
      <c r="V70" s="14">
        <f t="shared" si="8"/>
        <v>59.618180566268009</v>
      </c>
    </row>
    <row r="71" spans="2:22" x14ac:dyDescent="0.2">
      <c r="B71" s="13">
        <v>1000</v>
      </c>
      <c r="C71" s="37">
        <f>Datos!F152</f>
        <v>23.237675766478016</v>
      </c>
      <c r="E71" s="5">
        <f t="shared" si="6"/>
        <v>3</v>
      </c>
      <c r="F71" s="13">
        <v>1000</v>
      </c>
      <c r="G71" s="31">
        <f>Datos!D74</f>
        <v>60.980210680545994</v>
      </c>
      <c r="H71" s="31">
        <f>Datos!E74</f>
        <v>59.244252835017228</v>
      </c>
      <c r="I71" s="31">
        <f>Datos!F74</f>
        <v>58.870434307960714</v>
      </c>
      <c r="J71" s="31">
        <f>Datos!G74</f>
        <v>59.531066188375462</v>
      </c>
      <c r="K71" s="31">
        <f>Datos!H74</f>
        <v>60.650634726481648</v>
      </c>
      <c r="L71" s="18">
        <v>5</v>
      </c>
      <c r="M71" s="14">
        <f t="shared" si="7"/>
        <v>66.014556605571514</v>
      </c>
      <c r="O71" s="13">
        <v>1000</v>
      </c>
      <c r="P71" s="31">
        <f>Datos!I74</f>
        <v>60.622494255668428</v>
      </c>
      <c r="Q71" s="31">
        <f>Datos!J74</f>
        <v>59.234130512584336</v>
      </c>
      <c r="R71" s="31">
        <f>Datos!K74</f>
        <v>60.51955846541216</v>
      </c>
      <c r="S71" s="31">
        <f>Datos!L74</f>
        <v>61.881884412875969</v>
      </c>
      <c r="T71" s="31">
        <f>Datos!M74</f>
        <v>61.072857861357612</v>
      </c>
      <c r="U71" s="18">
        <v>5</v>
      </c>
      <c r="V71" s="14">
        <f t="shared" si="8"/>
        <v>56.004157112074751</v>
      </c>
    </row>
    <row r="72" spans="2:22" x14ac:dyDescent="0.2">
      <c r="B72" s="13">
        <v>1250</v>
      </c>
      <c r="C72" s="37">
        <f>Datos!F153</f>
        <v>23.947819154779246</v>
      </c>
      <c r="E72" s="5">
        <f t="shared" si="6"/>
        <v>3.0969100130080562</v>
      </c>
      <c r="F72" s="13">
        <v>1250</v>
      </c>
      <c r="G72" s="31">
        <f>Datos!D75</f>
        <v>57.476890567540003</v>
      </c>
      <c r="H72" s="31">
        <f>Datos!E75</f>
        <v>58.139587438095361</v>
      </c>
      <c r="I72" s="31">
        <f>Datos!F75</f>
        <v>57.31594546818642</v>
      </c>
      <c r="J72" s="31">
        <f>Datos!G75</f>
        <v>57.835080973064628</v>
      </c>
      <c r="K72" s="31">
        <f>Datos!H75</f>
        <v>57.055973583192966</v>
      </c>
      <c r="L72" s="18">
        <v>5</v>
      </c>
      <c r="M72" s="14">
        <f t="shared" si="7"/>
        <v>63.907435056714732</v>
      </c>
      <c r="O72" s="13">
        <v>1250</v>
      </c>
      <c r="P72" s="31">
        <f>Datos!I75</f>
        <v>57.999453358600299</v>
      </c>
      <c r="Q72" s="31">
        <f>Datos!J75</f>
        <v>57.469275187077137</v>
      </c>
      <c r="R72" s="31">
        <f>Datos!K75</f>
        <v>58.78028227134309</v>
      </c>
      <c r="S72" s="31">
        <f>Datos!L75</f>
        <v>57.791434310117744</v>
      </c>
      <c r="T72" s="31">
        <f>Datos!M75</f>
        <v>58.530213390110774</v>
      </c>
      <c r="U72" s="18">
        <v>5</v>
      </c>
      <c r="V72" s="14">
        <f t="shared" si="8"/>
        <v>53.763049555995465</v>
      </c>
    </row>
    <row r="73" spans="2:22" x14ac:dyDescent="0.2">
      <c r="B73" s="13">
        <v>1600</v>
      </c>
      <c r="C73" s="37">
        <f>Datos!F154</f>
        <v>24.566846696457059</v>
      </c>
      <c r="E73" s="5">
        <f t="shared" si="6"/>
        <v>3.2041199826559246</v>
      </c>
      <c r="F73" s="13">
        <v>1600</v>
      </c>
      <c r="G73" s="31">
        <f>Datos!D76</f>
        <v>56.476323818646534</v>
      </c>
      <c r="H73" s="31">
        <f>Datos!E76</f>
        <v>56.021820658261014</v>
      </c>
      <c r="I73" s="31">
        <f>Datos!F76</f>
        <v>56.173593195918876</v>
      </c>
      <c r="J73" s="31">
        <f>Datos!G76</f>
        <v>55.719958105160082</v>
      </c>
      <c r="K73" s="31">
        <f>Datos!H76</f>
        <v>56.165738892199386</v>
      </c>
      <c r="L73" s="18">
        <v>5</v>
      </c>
      <c r="M73" s="14">
        <f t="shared" si="7"/>
        <v>62.341818530163295</v>
      </c>
      <c r="O73" s="13">
        <v>1600</v>
      </c>
      <c r="P73" s="31">
        <f>Datos!I76</f>
        <v>56.793611967484232</v>
      </c>
      <c r="Q73" s="31">
        <f>Datos!J76</f>
        <v>55.183840475128029</v>
      </c>
      <c r="R73" s="31">
        <f>Datos!K76</f>
        <v>55.265561438796617</v>
      </c>
      <c r="S73" s="31">
        <f>Datos!L76</f>
        <v>56.321056656855873</v>
      </c>
      <c r="T73" s="31">
        <f>Datos!M76</f>
        <v>55.632801741447999</v>
      </c>
      <c r="U73" s="18">
        <v>5</v>
      </c>
      <c r="V73" s="14">
        <f t="shared" si="8"/>
        <v>52.083488488670255</v>
      </c>
    </row>
    <row r="74" spans="2:22" x14ac:dyDescent="0.2">
      <c r="B74" s="13">
        <v>2000</v>
      </c>
      <c r="C74" s="37">
        <f>Datos!F155</f>
        <v>25.430607861811573</v>
      </c>
      <c r="E74" s="5">
        <f t="shared" si="6"/>
        <v>3.3010299956639813</v>
      </c>
      <c r="F74" s="13">
        <v>2000</v>
      </c>
      <c r="G74" s="31">
        <f>Datos!D77</f>
        <v>53.230134021934219</v>
      </c>
      <c r="H74" s="31">
        <f>Datos!E77</f>
        <v>54.012565405433605</v>
      </c>
      <c r="I74" s="31">
        <f>Datos!F77</f>
        <v>54.644164892905515</v>
      </c>
      <c r="J74" s="31">
        <f>Datos!G77</f>
        <v>54.751347603688714</v>
      </c>
      <c r="K74" s="31">
        <f>Datos!H77</f>
        <v>53.729934699499786</v>
      </c>
      <c r="L74" s="18">
        <v>5</v>
      </c>
      <c r="M74" s="14">
        <f t="shared" si="7"/>
        <v>60.411918938310052</v>
      </c>
      <c r="O74" s="13">
        <v>2000</v>
      </c>
      <c r="P74" s="31">
        <f>Datos!I77</f>
        <v>54.613408245663777</v>
      </c>
      <c r="Q74" s="31">
        <f>Datos!J77</f>
        <v>54.029445761356627</v>
      </c>
      <c r="R74" s="31">
        <f>Datos!K77</f>
        <v>54.142888250369253</v>
      </c>
      <c r="S74" s="31">
        <f>Datos!L77</f>
        <v>55.986724474255183</v>
      </c>
      <c r="T74" s="31">
        <f>Datos!M77</f>
        <v>54.567901725584761</v>
      </c>
      <c r="U74" s="18">
        <v>5</v>
      </c>
      <c r="V74" s="14">
        <f t="shared" si="8"/>
        <v>50.351834651200875</v>
      </c>
    </row>
    <row r="75" spans="2:22" x14ac:dyDescent="0.2">
      <c r="B75" s="13">
        <v>2500</v>
      </c>
      <c r="C75" s="37">
        <f>Datos!F156</f>
        <v>26.375993667787188</v>
      </c>
      <c r="E75" s="5">
        <f t="shared" si="6"/>
        <v>3.3979400086720375</v>
      </c>
      <c r="F75" s="13">
        <v>2500</v>
      </c>
      <c r="G75" s="31">
        <f>Datos!D78</f>
        <v>55.340427956406828</v>
      </c>
      <c r="H75" s="31">
        <f>Datos!E78</f>
        <v>55.35309857169154</v>
      </c>
      <c r="I75" s="31">
        <f>Datos!F78</f>
        <v>55.639511700334218</v>
      </c>
      <c r="J75" s="31">
        <f>Datos!G78</f>
        <v>57.267377230957266</v>
      </c>
      <c r="K75" s="31">
        <f>Datos!H78</f>
        <v>55.626406545069678</v>
      </c>
      <c r="L75" s="18">
        <v>5</v>
      </c>
      <c r="M75" s="14">
        <f t="shared" si="7"/>
        <v>62.194517908736238</v>
      </c>
      <c r="O75" s="13">
        <v>2500</v>
      </c>
      <c r="P75" s="31">
        <f>Datos!I78</f>
        <v>56.314311574687288</v>
      </c>
      <c r="Q75" s="31">
        <f>Datos!J78</f>
        <v>57.685248288241297</v>
      </c>
      <c r="R75" s="31">
        <f>Datos!K78</f>
        <v>56.148718656367855</v>
      </c>
      <c r="S75" s="31">
        <f>Datos!L78</f>
        <v>57.94213275099353</v>
      </c>
      <c r="T75" s="31">
        <f>Datos!M78</f>
        <v>57.53677148496471</v>
      </c>
      <c r="U75" s="18">
        <v>5</v>
      </c>
      <c r="V75" s="14">
        <f t="shared" si="8"/>
        <v>53.074252144983703</v>
      </c>
    </row>
    <row r="76" spans="2:22" x14ac:dyDescent="0.2">
      <c r="B76" s="13">
        <v>3150</v>
      </c>
      <c r="C76" s="37">
        <f>Datos!F157</f>
        <v>26.94540861862065</v>
      </c>
      <c r="E76" s="5">
        <f t="shared" si="6"/>
        <v>3.4983105537896004</v>
      </c>
      <c r="F76" s="13">
        <v>3150</v>
      </c>
      <c r="G76" s="31">
        <f>Datos!D79</f>
        <v>55.833012803425383</v>
      </c>
      <c r="H76" s="31">
        <f>Datos!E79</f>
        <v>56.265658105995016</v>
      </c>
      <c r="I76" s="31">
        <f>Datos!F79</f>
        <v>55.196876672035891</v>
      </c>
      <c r="J76" s="31">
        <f>Datos!G79</f>
        <v>57.814483387779646</v>
      </c>
      <c r="K76" s="31">
        <f>Datos!H79</f>
        <v>55.486750008454962</v>
      </c>
      <c r="L76" s="18">
        <v>5</v>
      </c>
      <c r="M76" s="14">
        <f t="shared" si="7"/>
        <v>62.582832987417433</v>
      </c>
      <c r="O76" s="13">
        <v>3150</v>
      </c>
      <c r="P76" s="31">
        <f>Datos!I79</f>
        <v>57.214231405793541</v>
      </c>
      <c r="Q76" s="31">
        <f>Datos!J79</f>
        <v>57.69061453422291</v>
      </c>
      <c r="R76" s="31">
        <f>Datos!K79</f>
        <v>56.710577776244413</v>
      </c>
      <c r="S76" s="31">
        <f>Datos!L79</f>
        <v>60.171847516505416</v>
      </c>
      <c r="T76" s="31">
        <f>Datos!M79</f>
        <v>57.7945751282328</v>
      </c>
      <c r="U76" s="18">
        <v>5</v>
      </c>
      <c r="V76" s="14">
        <f t="shared" si="8"/>
        <v>53.479551494950101</v>
      </c>
    </row>
    <row r="77" spans="2:22" x14ac:dyDescent="0.2">
      <c r="B77" s="13">
        <v>4000</v>
      </c>
      <c r="C77" s="37">
        <f>Datos!F158</f>
        <v>28.007041962626744</v>
      </c>
      <c r="E77" s="5">
        <f t="shared" si="6"/>
        <v>3.6020599913279625</v>
      </c>
      <c r="F77" s="13">
        <v>4000</v>
      </c>
      <c r="G77" s="31">
        <f>Datos!D80</f>
        <v>50.591083605264878</v>
      </c>
      <c r="H77" s="31">
        <f>Datos!E80</f>
        <v>52.198207401179104</v>
      </c>
      <c r="I77" s="31">
        <f>Datos!F80</f>
        <v>50.484623320714725</v>
      </c>
      <c r="J77" s="31">
        <f>Datos!G80</f>
        <v>53.589889497247363</v>
      </c>
      <c r="K77" s="31">
        <f>Datos!H80</f>
        <v>51.710585451837794</v>
      </c>
      <c r="L77" s="18">
        <v>5</v>
      </c>
      <c r="M77" s="14">
        <f t="shared" si="7"/>
        <v>58.132364794909854</v>
      </c>
      <c r="O77" s="13">
        <v>4000</v>
      </c>
      <c r="P77" s="31">
        <f>Datos!I80</f>
        <v>52.564226747579966</v>
      </c>
      <c r="Q77" s="31">
        <f>Datos!J80</f>
        <v>53.229062243739953</v>
      </c>
      <c r="R77" s="31">
        <f>Datos!K80</f>
        <v>52.447128823073491</v>
      </c>
      <c r="S77" s="31">
        <f>Datos!L80</f>
        <v>56.196495081927324</v>
      </c>
      <c r="T77" s="31">
        <f>Datos!M80</f>
        <v>53.129347542288222</v>
      </c>
      <c r="U77" s="18">
        <v>5</v>
      </c>
      <c r="V77" s="14">
        <f t="shared" si="8"/>
        <v>48.929953968147764</v>
      </c>
    </row>
    <row r="78" spans="2:22" x14ac:dyDescent="0.2">
      <c r="B78" s="15">
        <v>5000</v>
      </c>
      <c r="C78" s="37">
        <f>Datos!F159</f>
        <v>28.928048955331935</v>
      </c>
      <c r="E78" s="5">
        <f t="shared" si="6"/>
        <v>3.6989700043360187</v>
      </c>
      <c r="F78" s="15">
        <v>5000</v>
      </c>
      <c r="G78" s="32">
        <f>Datos!D81</f>
        <v>45.35254910512851</v>
      </c>
      <c r="H78" s="32">
        <f>Datos!E81</f>
        <v>47.224694599698608</v>
      </c>
      <c r="I78" s="32">
        <f>Datos!F81</f>
        <v>45.239385232158092</v>
      </c>
      <c r="J78" s="32">
        <f>Datos!G81</f>
        <v>48.418658158251347</v>
      </c>
      <c r="K78" s="32">
        <f>Datos!H81</f>
        <v>46.884606265310033</v>
      </c>
      <c r="L78" s="16">
        <v>5</v>
      </c>
      <c r="M78" s="17">
        <f t="shared" si="7"/>
        <v>53.004510514782481</v>
      </c>
      <c r="O78" s="15">
        <v>5000</v>
      </c>
      <c r="P78" s="32">
        <f>Datos!I81</f>
        <v>46.727679701786059</v>
      </c>
      <c r="Q78" s="32">
        <f>Datos!J81</f>
        <v>48.62261327716152</v>
      </c>
      <c r="R78" s="32">
        <f>Datos!K81</f>
        <v>47.97803707086193</v>
      </c>
      <c r="S78" s="32">
        <f>Datos!L81</f>
        <v>51.518404268389965</v>
      </c>
      <c r="T78" s="32">
        <f>Datos!M81</f>
        <v>48.72538256069312</v>
      </c>
      <c r="U78" s="16">
        <v>5</v>
      </c>
      <c r="V78" s="17">
        <f t="shared" si="8"/>
        <v>43.798287595789319</v>
      </c>
    </row>
    <row r="81" spans="2:22" x14ac:dyDescent="0.2">
      <c r="B81" s="155" t="s">
        <v>45</v>
      </c>
      <c r="C81" s="156"/>
      <c r="F81" s="159" t="s">
        <v>45</v>
      </c>
      <c r="G81" s="160"/>
      <c r="H81" s="160"/>
      <c r="I81" s="160"/>
      <c r="J81" s="160"/>
      <c r="K81" s="160"/>
      <c r="L81" s="160"/>
      <c r="M81" s="161"/>
      <c r="O81" s="159" t="s">
        <v>45</v>
      </c>
      <c r="P81" s="160"/>
      <c r="Q81" s="160"/>
      <c r="R81" s="160"/>
      <c r="S81" s="160"/>
      <c r="T81" s="160"/>
      <c r="U81" s="160"/>
      <c r="V81" s="161"/>
    </row>
    <row r="82" spans="2:22" x14ac:dyDescent="0.2">
      <c r="B82" s="157" t="s">
        <v>62</v>
      </c>
      <c r="C82" s="158"/>
      <c r="F82" s="162" t="s">
        <v>25</v>
      </c>
      <c r="G82" s="163"/>
      <c r="H82" s="163"/>
      <c r="I82" s="163"/>
      <c r="J82" s="163"/>
      <c r="K82" s="163"/>
      <c r="L82" s="163"/>
      <c r="M82" s="164"/>
      <c r="O82" s="162" t="s">
        <v>28</v>
      </c>
      <c r="P82" s="163"/>
      <c r="Q82" s="163"/>
      <c r="R82" s="163"/>
      <c r="S82" s="163"/>
      <c r="T82" s="163"/>
      <c r="U82" s="163"/>
      <c r="V82" s="164"/>
    </row>
    <row r="83" spans="2:22" ht="34" x14ac:dyDescent="0.2">
      <c r="B83" s="9" t="s">
        <v>20</v>
      </c>
      <c r="C83" s="36" t="s">
        <v>63</v>
      </c>
      <c r="F83" s="9" t="s">
        <v>20</v>
      </c>
      <c r="G83" s="25" t="s">
        <v>64</v>
      </c>
      <c r="H83" s="25" t="s">
        <v>65</v>
      </c>
      <c r="I83" s="25" t="s">
        <v>66</v>
      </c>
      <c r="J83" s="25" t="s">
        <v>67</v>
      </c>
      <c r="K83" s="25" t="s">
        <v>68</v>
      </c>
      <c r="L83" s="11" t="s">
        <v>26</v>
      </c>
      <c r="M83" s="12" t="s">
        <v>27</v>
      </c>
      <c r="O83" s="9" t="s">
        <v>20</v>
      </c>
      <c r="P83" s="25" t="s">
        <v>69</v>
      </c>
      <c r="Q83" s="25" t="s">
        <v>70</v>
      </c>
      <c r="R83" s="25" t="s">
        <v>71</v>
      </c>
      <c r="S83" s="25" t="s">
        <v>72</v>
      </c>
      <c r="T83" s="25" t="s">
        <v>73</v>
      </c>
      <c r="U83" s="11" t="s">
        <v>26</v>
      </c>
      <c r="V83" s="12" t="s">
        <v>49</v>
      </c>
    </row>
    <row r="84" spans="2:22" x14ac:dyDescent="0.2">
      <c r="B84" s="13">
        <v>50</v>
      </c>
      <c r="C84" s="37">
        <f>Datos!G139</f>
        <v>26.630519956313577</v>
      </c>
      <c r="E84" s="5">
        <f>LOG10(F84)</f>
        <v>1.6989700043360187</v>
      </c>
      <c r="F84" s="13">
        <v>50</v>
      </c>
      <c r="G84" s="31">
        <f>Datos!D87</f>
        <v>55.844960441416745</v>
      </c>
      <c r="H84" s="31">
        <f>Datos!E87</f>
        <v>50.03272891467131</v>
      </c>
      <c r="I84" s="31">
        <f>Datos!F87</f>
        <v>60.526902940538193</v>
      </c>
      <c r="J84" s="31">
        <f>Datos!G87</f>
        <v>67.031155402671558</v>
      </c>
      <c r="K84" s="31">
        <f>Datos!H87</f>
        <v>62.157538228895554</v>
      </c>
      <c r="L84" s="18">
        <v>5</v>
      </c>
      <c r="M84" s="14">
        <f t="shared" ref="M84:M104" si="9">10*LOG10((10^(G84/10)+10^(H84/10)+10^(I84/10)+10^(J84/10)+10^(K84/10))/L84)</f>
        <v>62.203847125982136</v>
      </c>
      <c r="O84" s="13">
        <v>50</v>
      </c>
      <c r="P84" s="31">
        <f>Datos!I87</f>
        <v>53.792492413761643</v>
      </c>
      <c r="Q84" s="31">
        <f>Datos!J87</f>
        <v>50.431376459256484</v>
      </c>
      <c r="R84" s="31">
        <f>Datos!K87</f>
        <v>57.057034430343116</v>
      </c>
      <c r="S84" s="31">
        <f>Datos!L87</f>
        <v>64.83342155205024</v>
      </c>
      <c r="T84" s="31">
        <f>Datos!M87</f>
        <v>61.82764872672066</v>
      </c>
      <c r="U84" s="18">
        <v>5</v>
      </c>
      <c r="V84" s="14">
        <f>10*LOG10((10^(P84/10)+10^(Q84/10)+10^(R84/10)+10^(S84/10)+10^(T84/10))/U84)</f>
        <v>60.353684084422554</v>
      </c>
    </row>
    <row r="85" spans="2:22" x14ac:dyDescent="0.2">
      <c r="B85" s="13">
        <v>63</v>
      </c>
      <c r="C85" s="37">
        <f>Datos!G140</f>
        <v>20.834531205503037</v>
      </c>
      <c r="E85" s="5">
        <f t="shared" ref="E85:E104" si="10">LOG10(F85)</f>
        <v>1.7993405494535817</v>
      </c>
      <c r="F85" s="13">
        <v>63</v>
      </c>
      <c r="G85" s="31">
        <f>Datos!D88</f>
        <v>59.286043702207536</v>
      </c>
      <c r="H85" s="31">
        <f>Datos!E88</f>
        <v>55.985070979444288</v>
      </c>
      <c r="I85" s="31">
        <f>Datos!F88</f>
        <v>53.699958417568986</v>
      </c>
      <c r="J85" s="31">
        <f>Datos!G88</f>
        <v>57.056400943809834</v>
      </c>
      <c r="K85" s="31">
        <f>Datos!H88</f>
        <v>53.724964748040499</v>
      </c>
      <c r="L85" s="18">
        <v>5</v>
      </c>
      <c r="M85" s="14">
        <f t="shared" si="9"/>
        <v>56.479854198432086</v>
      </c>
      <c r="O85" s="13">
        <v>63</v>
      </c>
      <c r="P85" s="31">
        <f>Datos!I88</f>
        <v>59.916291657521668</v>
      </c>
      <c r="Q85" s="31">
        <f>Datos!J88</f>
        <v>59.082748339569285</v>
      </c>
      <c r="R85" s="31">
        <f>Datos!K88</f>
        <v>59.505781632326965</v>
      </c>
      <c r="S85" s="31">
        <f>Datos!L88</f>
        <v>62.124026724008417</v>
      </c>
      <c r="T85" s="31">
        <f>Datos!M88</f>
        <v>53.040713877904984</v>
      </c>
      <c r="U85" s="18">
        <v>5</v>
      </c>
      <c r="V85" s="14">
        <f>10*LOG10((10^(P85/10)+10^(Q85/10)+10^(R85/10)+10^(S85/10)+10^(T85/10))/U85)</f>
        <v>59.557040288110926</v>
      </c>
    </row>
    <row r="86" spans="2:22" x14ac:dyDescent="0.2">
      <c r="B86" s="13">
        <v>80</v>
      </c>
      <c r="C86" s="37">
        <f>Datos!G141</f>
        <v>20.268912664618064</v>
      </c>
      <c r="E86" s="5">
        <f t="shared" si="10"/>
        <v>1.9030899869919435</v>
      </c>
      <c r="F86" s="13">
        <v>80</v>
      </c>
      <c r="G86" s="31">
        <f>Datos!D89</f>
        <v>61.030821640567005</v>
      </c>
      <c r="H86" s="31">
        <f>Datos!E89</f>
        <v>66.908479507059994</v>
      </c>
      <c r="I86" s="31">
        <f>Datos!F89</f>
        <v>62.906982488799514</v>
      </c>
      <c r="J86" s="31">
        <f>Datos!G89</f>
        <v>65.956000225085049</v>
      </c>
      <c r="K86" s="31">
        <f>Datos!H89</f>
        <v>63.385439228659727</v>
      </c>
      <c r="L86" s="18">
        <v>5</v>
      </c>
      <c r="M86" s="14">
        <f t="shared" si="9"/>
        <v>64.548331212128701</v>
      </c>
      <c r="O86" s="13">
        <v>80</v>
      </c>
      <c r="P86" s="31">
        <f>Datos!I89</f>
        <v>64.13058429294162</v>
      </c>
      <c r="Q86" s="31">
        <f>Datos!J89</f>
        <v>68.630008946649525</v>
      </c>
      <c r="R86" s="31">
        <f>Datos!K89</f>
        <v>63.442533283019337</v>
      </c>
      <c r="S86" s="31">
        <f>Datos!L89</f>
        <v>70.161566728026003</v>
      </c>
      <c r="T86" s="31">
        <f>Datos!M89</f>
        <v>60.669382171025354</v>
      </c>
      <c r="U86" s="18">
        <v>5</v>
      </c>
      <c r="V86" s="14">
        <f t="shared" ref="V86:V104" si="11">10*LOG10((10^(P86/10)+10^(Q86/10)+10^(R86/10)+10^(S86/10)+10^(T86/10))/U86)</f>
        <v>66.746428501190309</v>
      </c>
    </row>
    <row r="87" spans="2:22" x14ac:dyDescent="0.2">
      <c r="B87" s="13">
        <v>100</v>
      </c>
      <c r="C87" s="37">
        <f>Datos!G142</f>
        <v>20.926107463060561</v>
      </c>
      <c r="E87" s="5">
        <f t="shared" si="10"/>
        <v>2</v>
      </c>
      <c r="F87" s="13">
        <v>100</v>
      </c>
      <c r="G87" s="31">
        <f>Datos!D90</f>
        <v>58.608966538269598</v>
      </c>
      <c r="H87" s="31">
        <f>Datos!E90</f>
        <v>58.45263168238386</v>
      </c>
      <c r="I87" s="31">
        <f>Datos!F90</f>
        <v>61.068032926146749</v>
      </c>
      <c r="J87" s="31">
        <f>Datos!G90</f>
        <v>56.67149292583197</v>
      </c>
      <c r="K87" s="31">
        <f>Datos!H90</f>
        <v>59.605451724586096</v>
      </c>
      <c r="L87" s="18">
        <v>5</v>
      </c>
      <c r="M87" s="14">
        <f t="shared" si="9"/>
        <v>59.119915854453389</v>
      </c>
      <c r="O87" s="13">
        <v>100</v>
      </c>
      <c r="P87" s="31">
        <f>Datos!I90</f>
        <v>59.828412095571878</v>
      </c>
      <c r="Q87" s="31">
        <f>Datos!J90</f>
        <v>60.418286705425515</v>
      </c>
      <c r="R87" s="31">
        <f>Datos!K90</f>
        <v>60.954534586359948</v>
      </c>
      <c r="S87" s="31">
        <f>Datos!L90</f>
        <v>63.770738530420992</v>
      </c>
      <c r="T87" s="31">
        <f>Datos!M90</f>
        <v>60.034381631820921</v>
      </c>
      <c r="U87" s="18">
        <v>5</v>
      </c>
      <c r="V87" s="14">
        <f t="shared" si="11"/>
        <v>61.270304444135952</v>
      </c>
    </row>
    <row r="88" spans="2:22" x14ac:dyDescent="0.2">
      <c r="B88" s="13">
        <v>125</v>
      </c>
      <c r="C88" s="37">
        <f>Datos!G143</f>
        <v>19.237478460836353</v>
      </c>
      <c r="E88" s="5">
        <f t="shared" si="10"/>
        <v>2.0969100130080562</v>
      </c>
      <c r="F88" s="13">
        <v>125</v>
      </c>
      <c r="G88" s="31">
        <f>Datos!D91</f>
        <v>65.409254052520339</v>
      </c>
      <c r="H88" s="31">
        <f>Datos!E91</f>
        <v>65.414697048332116</v>
      </c>
      <c r="I88" s="31">
        <f>Datos!F91</f>
        <v>68.735696924220747</v>
      </c>
      <c r="J88" s="31">
        <f>Datos!G91</f>
        <v>67.567091440370945</v>
      </c>
      <c r="K88" s="31">
        <f>Datos!H91</f>
        <v>67.768913260383044</v>
      </c>
      <c r="L88" s="18">
        <v>5</v>
      </c>
      <c r="M88" s="14">
        <f t="shared" si="9"/>
        <v>67.180322949173345</v>
      </c>
      <c r="O88" s="13">
        <v>125</v>
      </c>
      <c r="P88" s="31">
        <f>Datos!I91</f>
        <v>58.49391428201421</v>
      </c>
      <c r="Q88" s="31">
        <f>Datos!J91</f>
        <v>58.066509524555734</v>
      </c>
      <c r="R88" s="31">
        <f>Datos!K91</f>
        <v>61.551547365510061</v>
      </c>
      <c r="S88" s="31">
        <f>Datos!L91</f>
        <v>57.730761693598147</v>
      </c>
      <c r="T88" s="31">
        <f>Datos!M91</f>
        <v>62.445552689688547</v>
      </c>
      <c r="U88" s="18">
        <v>5</v>
      </c>
      <c r="V88" s="14">
        <f t="shared" si="11"/>
        <v>60.108260270945514</v>
      </c>
    </row>
    <row r="89" spans="2:22" x14ac:dyDescent="0.2">
      <c r="B89" s="13">
        <v>160</v>
      </c>
      <c r="C89" s="37">
        <f>Datos!G144</f>
        <v>23.041133113912824</v>
      </c>
      <c r="E89" s="5">
        <f t="shared" si="10"/>
        <v>2.2041199826559246</v>
      </c>
      <c r="F89" s="13">
        <v>160</v>
      </c>
      <c r="G89" s="31">
        <f>Datos!D92</f>
        <v>68.883424663975234</v>
      </c>
      <c r="H89" s="31">
        <f>Datos!E92</f>
        <v>70.964276963246022</v>
      </c>
      <c r="I89" s="31">
        <f>Datos!F92</f>
        <v>70.517915692245751</v>
      </c>
      <c r="J89" s="31">
        <f>Datos!G92</f>
        <v>72.954772689532788</v>
      </c>
      <c r="K89" s="31">
        <f>Datos!H92</f>
        <v>70.438381294657503</v>
      </c>
      <c r="L89" s="18">
        <v>5</v>
      </c>
      <c r="M89" s="14">
        <f t="shared" si="9"/>
        <v>70.954735800386345</v>
      </c>
      <c r="O89" s="13">
        <v>160</v>
      </c>
      <c r="P89" s="31">
        <f>Datos!I92</f>
        <v>66.577405636291843</v>
      </c>
      <c r="Q89" s="31">
        <f>Datos!J92</f>
        <v>66.380520994198648</v>
      </c>
      <c r="R89" s="31">
        <f>Datos!K92</f>
        <v>69.141492303569663</v>
      </c>
      <c r="S89" s="31">
        <f>Datos!L92</f>
        <v>69.800135954133751</v>
      </c>
      <c r="T89" s="31">
        <f>Datos!M92</f>
        <v>69.614897860421081</v>
      </c>
      <c r="U89" s="18">
        <v>5</v>
      </c>
      <c r="V89" s="14">
        <f t="shared" si="11"/>
        <v>68.549226533992822</v>
      </c>
    </row>
    <row r="90" spans="2:22" x14ac:dyDescent="0.2">
      <c r="B90" s="13">
        <v>200</v>
      </c>
      <c r="C90" s="37">
        <f>Datos!G145</f>
        <v>21.681998933728615</v>
      </c>
      <c r="E90" s="5">
        <f t="shared" si="10"/>
        <v>2.3010299956639813</v>
      </c>
      <c r="F90" s="13">
        <v>200</v>
      </c>
      <c r="G90" s="31">
        <f>Datos!D93</f>
        <v>67.087948786187496</v>
      </c>
      <c r="H90" s="31">
        <f>Datos!E93</f>
        <v>69.827463463891917</v>
      </c>
      <c r="I90" s="31">
        <f>Datos!F93</f>
        <v>67.635294743588091</v>
      </c>
      <c r="J90" s="31">
        <f>Datos!G93</f>
        <v>64.506182500454187</v>
      </c>
      <c r="K90" s="31">
        <f>Datos!H93</f>
        <v>66.977909958457303</v>
      </c>
      <c r="L90" s="18">
        <v>5</v>
      </c>
      <c r="M90" s="14">
        <f t="shared" si="9"/>
        <v>67.5335487123658</v>
      </c>
      <c r="O90" s="13">
        <v>200</v>
      </c>
      <c r="P90" s="31">
        <f>Datos!I93</f>
        <v>67.195088721552551</v>
      </c>
      <c r="Q90" s="31">
        <f>Datos!J93</f>
        <v>68.590128859820155</v>
      </c>
      <c r="R90" s="31">
        <f>Datos!K93</f>
        <v>68.340863714325295</v>
      </c>
      <c r="S90" s="31">
        <f>Datos!L93</f>
        <v>63.62700969570286</v>
      </c>
      <c r="T90" s="31">
        <f>Datos!M93</f>
        <v>69.969931004539362</v>
      </c>
      <c r="U90" s="18">
        <v>5</v>
      </c>
      <c r="V90" s="14">
        <f t="shared" si="11"/>
        <v>67.997672145997143</v>
      </c>
    </row>
    <row r="91" spans="2:22" x14ac:dyDescent="0.2">
      <c r="B91" s="13">
        <v>250</v>
      </c>
      <c r="C91" s="37">
        <f>Datos!G146</f>
        <v>25.777995447048276</v>
      </c>
      <c r="E91" s="5">
        <f t="shared" si="10"/>
        <v>2.3979400086720375</v>
      </c>
      <c r="F91" s="13">
        <v>250</v>
      </c>
      <c r="G91" s="31">
        <f>Datos!D94</f>
        <v>68.652257323804491</v>
      </c>
      <c r="H91" s="31">
        <f>Datos!E94</f>
        <v>70.984884653212148</v>
      </c>
      <c r="I91" s="31">
        <f>Datos!F94</f>
        <v>67.217594815973655</v>
      </c>
      <c r="J91" s="31">
        <f>Datos!G94</f>
        <v>69.54776634968502</v>
      </c>
      <c r="K91" s="31">
        <f>Datos!H94</f>
        <v>70.515499682215363</v>
      </c>
      <c r="L91" s="18">
        <v>5</v>
      </c>
      <c r="M91" s="14">
        <f t="shared" si="9"/>
        <v>69.582611078377425</v>
      </c>
      <c r="O91" s="13">
        <v>250</v>
      </c>
      <c r="P91" s="31">
        <f>Datos!I94</f>
        <v>71.715234116405483</v>
      </c>
      <c r="Q91" s="31">
        <f>Datos!J94</f>
        <v>70.917424065142683</v>
      </c>
      <c r="R91" s="31">
        <f>Datos!K94</f>
        <v>72.971750546573247</v>
      </c>
      <c r="S91" s="31">
        <f>Datos!L94</f>
        <v>71.871715654645641</v>
      </c>
      <c r="T91" s="31">
        <f>Datos!M94</f>
        <v>73.361595903124126</v>
      </c>
      <c r="U91" s="18">
        <v>5</v>
      </c>
      <c r="V91" s="14">
        <f t="shared" si="11"/>
        <v>72.257800074908999</v>
      </c>
    </row>
    <row r="92" spans="2:22" x14ac:dyDescent="0.2">
      <c r="B92" s="13">
        <v>315</v>
      </c>
      <c r="C92" s="37">
        <f>Datos!G147</f>
        <v>24.654969957401072</v>
      </c>
      <c r="E92" s="5">
        <f t="shared" si="10"/>
        <v>2.4983105537896004</v>
      </c>
      <c r="F92" s="13">
        <v>315</v>
      </c>
      <c r="G92" s="31">
        <f>Datos!D95</f>
        <v>72.768477375151349</v>
      </c>
      <c r="H92" s="31">
        <f>Datos!E95</f>
        <v>76.689452980138086</v>
      </c>
      <c r="I92" s="31">
        <f>Datos!F95</f>
        <v>70.411698663722703</v>
      </c>
      <c r="J92" s="31">
        <f>Datos!G95</f>
        <v>74.732519910928787</v>
      </c>
      <c r="K92" s="31">
        <f>Datos!H95</f>
        <v>72.379574701003946</v>
      </c>
      <c r="L92" s="18">
        <v>5</v>
      </c>
      <c r="M92" s="14">
        <f t="shared" si="9"/>
        <v>73.930540838231863</v>
      </c>
      <c r="O92" s="13">
        <v>315</v>
      </c>
      <c r="P92" s="31">
        <f>Datos!I95</f>
        <v>70.585057302489957</v>
      </c>
      <c r="Q92" s="31">
        <f>Datos!J95</f>
        <v>72.758568390023271</v>
      </c>
      <c r="R92" s="31">
        <f>Datos!K95</f>
        <v>72.90180030565584</v>
      </c>
      <c r="S92" s="31">
        <f>Datos!L95</f>
        <v>71.51721879728548</v>
      </c>
      <c r="T92" s="31">
        <f>Datos!M95</f>
        <v>70.370010050516285</v>
      </c>
      <c r="U92" s="18">
        <v>5</v>
      </c>
      <c r="V92" s="14">
        <f t="shared" si="11"/>
        <v>71.754720226068571</v>
      </c>
    </row>
    <row r="93" spans="2:22" x14ac:dyDescent="0.2">
      <c r="B93" s="13">
        <v>400</v>
      </c>
      <c r="C93" s="37">
        <f>Datos!G148</f>
        <v>24.688685799350573</v>
      </c>
      <c r="E93" s="5">
        <f t="shared" si="10"/>
        <v>2.6020599913279625</v>
      </c>
      <c r="F93" s="13">
        <v>400</v>
      </c>
      <c r="G93" s="31">
        <f>Datos!D96</f>
        <v>68.694986222556267</v>
      </c>
      <c r="H93" s="31">
        <f>Datos!E96</f>
        <v>69.087528885467137</v>
      </c>
      <c r="I93" s="31">
        <f>Datos!F96</f>
        <v>72.199991255196906</v>
      </c>
      <c r="J93" s="31">
        <f>Datos!G96</f>
        <v>69.241149678476546</v>
      </c>
      <c r="K93" s="31">
        <f>Datos!H96</f>
        <v>68.983455974046265</v>
      </c>
      <c r="L93" s="18">
        <v>5</v>
      </c>
      <c r="M93" s="14">
        <f t="shared" si="9"/>
        <v>69.860124933559064</v>
      </c>
      <c r="O93" s="13">
        <v>400</v>
      </c>
      <c r="P93" s="31">
        <f>Datos!I96</f>
        <v>70.461693109754222</v>
      </c>
      <c r="Q93" s="31">
        <f>Datos!J96</f>
        <v>70.403492839739712</v>
      </c>
      <c r="R93" s="31">
        <f>Datos!K96</f>
        <v>70.520841045593954</v>
      </c>
      <c r="S93" s="31">
        <f>Datos!L96</f>
        <v>69.650633885310242</v>
      </c>
      <c r="T93" s="31">
        <f>Datos!M96</f>
        <v>71.966856426662872</v>
      </c>
      <c r="U93" s="18">
        <v>5</v>
      </c>
      <c r="V93" s="14">
        <f t="shared" si="11"/>
        <v>70.66884107121939</v>
      </c>
    </row>
    <row r="94" spans="2:22" x14ac:dyDescent="0.2">
      <c r="B94" s="13">
        <v>500</v>
      </c>
      <c r="C94" s="37">
        <f>Datos!G149</f>
        <v>25.72086424774659</v>
      </c>
      <c r="E94" s="5">
        <f t="shared" si="10"/>
        <v>2.6989700043360187</v>
      </c>
      <c r="F94" s="13">
        <v>500</v>
      </c>
      <c r="G94" s="31">
        <f>Datos!D97</f>
        <v>68.061705515934875</v>
      </c>
      <c r="H94" s="31">
        <f>Datos!E97</f>
        <v>67.340023040771484</v>
      </c>
      <c r="I94" s="31">
        <f>Datos!F97</f>
        <v>69.096469410678793</v>
      </c>
      <c r="J94" s="31">
        <f>Datos!G97</f>
        <v>66.649671567997459</v>
      </c>
      <c r="K94" s="31">
        <f>Datos!H97</f>
        <v>68.448421768378992</v>
      </c>
      <c r="L94" s="18">
        <v>5</v>
      </c>
      <c r="M94" s="14">
        <f t="shared" si="9"/>
        <v>68.001798771761969</v>
      </c>
      <c r="O94" s="13">
        <v>500</v>
      </c>
      <c r="P94" s="31">
        <f>Datos!I97</f>
        <v>66.776011808418929</v>
      </c>
      <c r="Q94" s="31">
        <f>Datos!J97</f>
        <v>70.051560550991937</v>
      </c>
      <c r="R94" s="31">
        <f>Datos!K97</f>
        <v>70.988470964753219</v>
      </c>
      <c r="S94" s="31">
        <f>Datos!L97</f>
        <v>66.37459231366168</v>
      </c>
      <c r="T94" s="31">
        <f>Datos!M97</f>
        <v>69.185865969884958</v>
      </c>
      <c r="U94" s="18">
        <v>5</v>
      </c>
      <c r="V94" s="14">
        <f t="shared" si="11"/>
        <v>69.038011313280549</v>
      </c>
    </row>
    <row r="95" spans="2:22" x14ac:dyDescent="0.2">
      <c r="B95" s="13">
        <v>630</v>
      </c>
      <c r="C95" s="37">
        <f>Datos!G150</f>
        <v>25.552571351960321</v>
      </c>
      <c r="E95" s="5">
        <f t="shared" si="10"/>
        <v>2.7993405494535817</v>
      </c>
      <c r="F95" s="13">
        <v>630</v>
      </c>
      <c r="G95" s="31">
        <f>Datos!D98</f>
        <v>66.172279379486497</v>
      </c>
      <c r="H95" s="31">
        <f>Datos!E98</f>
        <v>68.734103181090532</v>
      </c>
      <c r="I95" s="31">
        <f>Datos!F98</f>
        <v>68.841999665198969</v>
      </c>
      <c r="J95" s="31">
        <f>Datos!G98</f>
        <v>68.764913899238124</v>
      </c>
      <c r="K95" s="31">
        <f>Datos!H98</f>
        <v>65.585919413745202</v>
      </c>
      <c r="L95" s="18">
        <v>5</v>
      </c>
      <c r="M95" s="14">
        <f t="shared" si="9"/>
        <v>67.841459677421398</v>
      </c>
      <c r="O95" s="13">
        <v>630</v>
      </c>
      <c r="P95" s="31">
        <f>Datos!I98</f>
        <v>67.006648833235232</v>
      </c>
      <c r="Q95" s="31">
        <f>Datos!J98</f>
        <v>66.862011654218719</v>
      </c>
      <c r="R95" s="31">
        <f>Datos!K98</f>
        <v>68.445101564385922</v>
      </c>
      <c r="S95" s="31">
        <f>Datos!L98</f>
        <v>64.723350659045551</v>
      </c>
      <c r="T95" s="31">
        <f>Datos!M98</f>
        <v>67.231074204520567</v>
      </c>
      <c r="U95" s="18">
        <v>5</v>
      </c>
      <c r="V95" s="14">
        <f t="shared" si="11"/>
        <v>67.010166912467653</v>
      </c>
    </row>
    <row r="96" spans="2:22" x14ac:dyDescent="0.2">
      <c r="B96" s="13">
        <v>800</v>
      </c>
      <c r="C96" s="37">
        <f>Datos!G151</f>
        <v>25.194272409384993</v>
      </c>
      <c r="E96" s="5">
        <f t="shared" si="10"/>
        <v>2.9030899869919438</v>
      </c>
      <c r="F96" s="13">
        <v>800</v>
      </c>
      <c r="G96" s="31">
        <f>Datos!D99</f>
        <v>64.231090286738194</v>
      </c>
      <c r="H96" s="31">
        <f>Datos!E99</f>
        <v>64.996712566327446</v>
      </c>
      <c r="I96" s="31">
        <f>Datos!F99</f>
        <v>66.352428396124594</v>
      </c>
      <c r="J96" s="31">
        <f>Datos!G99</f>
        <v>64.941600029457348</v>
      </c>
      <c r="K96" s="31">
        <f>Datos!H99</f>
        <v>64.52158354413902</v>
      </c>
      <c r="L96" s="18">
        <v>5</v>
      </c>
      <c r="M96" s="14">
        <f t="shared" si="9"/>
        <v>65.072922107337675</v>
      </c>
      <c r="O96" s="13">
        <v>800</v>
      </c>
      <c r="P96" s="31">
        <f>Datos!I99</f>
        <v>63.81285959194539</v>
      </c>
      <c r="Q96" s="31">
        <f>Datos!J99</f>
        <v>63.026118023237274</v>
      </c>
      <c r="R96" s="31">
        <f>Datos!K99</f>
        <v>66.717856349302139</v>
      </c>
      <c r="S96" s="31">
        <f>Datos!L99</f>
        <v>64.604271517743115</v>
      </c>
      <c r="T96" s="31">
        <f>Datos!M99</f>
        <v>64.639953685185262</v>
      </c>
      <c r="U96" s="18">
        <v>5</v>
      </c>
      <c r="V96" s="14">
        <f t="shared" si="11"/>
        <v>64.744325442005476</v>
      </c>
    </row>
    <row r="97" spans="2:22" x14ac:dyDescent="0.2">
      <c r="B97" s="13">
        <v>1000</v>
      </c>
      <c r="C97" s="37">
        <f>Datos!G152</f>
        <v>25.48027170512885</v>
      </c>
      <c r="E97" s="5">
        <f t="shared" si="10"/>
        <v>3</v>
      </c>
      <c r="F97" s="13">
        <v>1000</v>
      </c>
      <c r="G97" s="31">
        <f>Datos!D100</f>
        <v>61.665774712195763</v>
      </c>
      <c r="H97" s="31">
        <f>Datos!E100</f>
        <v>60.268167766136457</v>
      </c>
      <c r="I97" s="31">
        <f>Datos!F100</f>
        <v>62.653301350554528</v>
      </c>
      <c r="J97" s="31">
        <f>Datos!G100</f>
        <v>60.661283327380254</v>
      </c>
      <c r="K97" s="31">
        <f>Datos!H100</f>
        <v>60.055371521550327</v>
      </c>
      <c r="L97" s="18">
        <v>5</v>
      </c>
      <c r="M97" s="14">
        <f t="shared" si="9"/>
        <v>61.173154053452386</v>
      </c>
      <c r="O97" s="13">
        <v>1000</v>
      </c>
      <c r="P97" s="31">
        <f>Datos!I100</f>
        <v>61.326354663647656</v>
      </c>
      <c r="Q97" s="31">
        <f>Datos!J100</f>
        <v>60.039539970218243</v>
      </c>
      <c r="R97" s="31">
        <f>Datos!K100</f>
        <v>63.254353838288381</v>
      </c>
      <c r="S97" s="31">
        <f>Datos!L100</f>
        <v>58.915015205970178</v>
      </c>
      <c r="T97" s="31">
        <f>Datos!M100</f>
        <v>61.024509846218045</v>
      </c>
      <c r="U97" s="18">
        <v>5</v>
      </c>
      <c r="V97" s="14">
        <f t="shared" si="11"/>
        <v>61.157379251940668</v>
      </c>
    </row>
    <row r="98" spans="2:22" x14ac:dyDescent="0.2">
      <c r="B98" s="13">
        <v>1250</v>
      </c>
      <c r="C98" s="37">
        <f>Datos!G153</f>
        <v>25.857837510020754</v>
      </c>
      <c r="E98" s="5">
        <f t="shared" si="10"/>
        <v>3.0969100130080562</v>
      </c>
      <c r="F98" s="13">
        <v>1250</v>
      </c>
      <c r="G98" s="31">
        <f>Datos!D101</f>
        <v>56.91369941331682</v>
      </c>
      <c r="H98" s="31">
        <f>Datos!E101</f>
        <v>57.150348750247232</v>
      </c>
      <c r="I98" s="31">
        <f>Datos!F101</f>
        <v>59.474553613495409</v>
      </c>
      <c r="J98" s="31">
        <f>Datos!G101</f>
        <v>56.616447663642994</v>
      </c>
      <c r="K98" s="31">
        <f>Datos!H101</f>
        <v>56.552138572112653</v>
      </c>
      <c r="L98" s="18">
        <v>5</v>
      </c>
      <c r="M98" s="14">
        <f t="shared" si="9"/>
        <v>57.492899121960697</v>
      </c>
      <c r="O98" s="13">
        <v>1250</v>
      </c>
      <c r="P98" s="31">
        <f>Datos!I101</f>
        <v>56.048157594554489</v>
      </c>
      <c r="Q98" s="31">
        <f>Datos!J101</f>
        <v>56.17252119092921</v>
      </c>
      <c r="R98" s="31">
        <f>Datos!K101</f>
        <v>57.008169049895209</v>
      </c>
      <c r="S98" s="31">
        <f>Datos!L101</f>
        <v>57.697533513163471</v>
      </c>
      <c r="T98" s="31">
        <f>Datos!M101</f>
        <v>56.869148663112092</v>
      </c>
      <c r="U98" s="18">
        <v>5</v>
      </c>
      <c r="V98" s="14">
        <f t="shared" si="11"/>
        <v>56.801066738992496</v>
      </c>
    </row>
    <row r="99" spans="2:22" x14ac:dyDescent="0.2">
      <c r="B99" s="13">
        <v>1600</v>
      </c>
      <c r="C99" s="37">
        <f>Datos!G154</f>
        <v>25.148234624897949</v>
      </c>
      <c r="E99" s="5">
        <f t="shared" si="10"/>
        <v>3.2041199826559246</v>
      </c>
      <c r="F99" s="13">
        <v>1600</v>
      </c>
      <c r="G99" s="31">
        <f>Datos!D102</f>
        <v>53.739543996785024</v>
      </c>
      <c r="H99" s="31">
        <f>Datos!E102</f>
        <v>55.419191761258283</v>
      </c>
      <c r="I99" s="31">
        <f>Datos!F102</f>
        <v>55.311027169924728</v>
      </c>
      <c r="J99" s="31">
        <f>Datos!G102</f>
        <v>55.372358447509193</v>
      </c>
      <c r="K99" s="31">
        <f>Datos!H102</f>
        <v>53.85016414282947</v>
      </c>
      <c r="L99" s="18">
        <v>5</v>
      </c>
      <c r="M99" s="14">
        <f t="shared" si="9"/>
        <v>54.805106608620513</v>
      </c>
      <c r="O99" s="13">
        <v>1600</v>
      </c>
      <c r="P99" s="31">
        <f>Datos!I102</f>
        <v>52.620343881557822</v>
      </c>
      <c r="Q99" s="31">
        <f>Datos!J102</f>
        <v>52.626012140474174</v>
      </c>
      <c r="R99" s="31">
        <f>Datos!K102</f>
        <v>55.057667340053598</v>
      </c>
      <c r="S99" s="31">
        <f>Datos!L102</f>
        <v>54.026837078555602</v>
      </c>
      <c r="T99" s="31">
        <f>Datos!M102</f>
        <v>55.577453344587298</v>
      </c>
      <c r="U99" s="18">
        <v>5</v>
      </c>
      <c r="V99" s="14">
        <f t="shared" si="11"/>
        <v>54.150689458495329</v>
      </c>
    </row>
    <row r="100" spans="2:22" x14ac:dyDescent="0.2">
      <c r="B100" s="13">
        <v>2000</v>
      </c>
      <c r="C100" s="37">
        <f>Datos!G155</f>
        <v>25.965268263246511</v>
      </c>
      <c r="E100" s="5">
        <f t="shared" si="10"/>
        <v>3.3010299956639813</v>
      </c>
      <c r="F100" s="13">
        <v>2000</v>
      </c>
      <c r="G100" s="31">
        <f>Datos!D103</f>
        <v>52.737170573273396</v>
      </c>
      <c r="H100" s="31">
        <f>Datos!E103</f>
        <v>52.5929276092143</v>
      </c>
      <c r="I100" s="31">
        <f>Datos!F103</f>
        <v>52.905904053805166</v>
      </c>
      <c r="J100" s="31">
        <f>Datos!G103</f>
        <v>53.328518182459014</v>
      </c>
      <c r="K100" s="31">
        <f>Datos!H103</f>
        <v>51.336771160736255</v>
      </c>
      <c r="L100" s="18">
        <v>5</v>
      </c>
      <c r="M100" s="14">
        <f t="shared" si="9"/>
        <v>52.629164657318874</v>
      </c>
      <c r="O100" s="13">
        <v>2000</v>
      </c>
      <c r="P100" s="31">
        <f>Datos!I103</f>
        <v>50.489604812947455</v>
      </c>
      <c r="Q100" s="31">
        <f>Datos!J103</f>
        <v>50.732495162931194</v>
      </c>
      <c r="R100" s="31">
        <f>Datos!K103</f>
        <v>52.335750704133112</v>
      </c>
      <c r="S100" s="31">
        <f>Datos!L103</f>
        <v>52.659222273774198</v>
      </c>
      <c r="T100" s="31">
        <f>Datos!M103</f>
        <v>52.473330142006041</v>
      </c>
      <c r="U100" s="18">
        <v>5</v>
      </c>
      <c r="V100" s="14">
        <f t="shared" si="11"/>
        <v>51.834074390703798</v>
      </c>
    </row>
    <row r="101" spans="2:22" x14ac:dyDescent="0.2">
      <c r="B101" s="13">
        <v>2500</v>
      </c>
      <c r="C101" s="37">
        <f>Datos!G156</f>
        <v>26.432142459949347</v>
      </c>
      <c r="E101" s="5">
        <f t="shared" si="10"/>
        <v>3.3979400086720375</v>
      </c>
      <c r="F101" s="13">
        <v>2500</v>
      </c>
      <c r="G101" s="31">
        <f>Datos!D104</f>
        <v>54.442888864025271</v>
      </c>
      <c r="H101" s="31">
        <f>Datos!E104</f>
        <v>54.908573966690255</v>
      </c>
      <c r="I101" s="31">
        <f>Datos!F104</f>
        <v>56.399443834985206</v>
      </c>
      <c r="J101" s="31">
        <f>Datos!G104</f>
        <v>57.938895807579648</v>
      </c>
      <c r="K101" s="31">
        <f>Datos!H104</f>
        <v>54.129003531275217</v>
      </c>
      <c r="L101" s="18">
        <v>5</v>
      </c>
      <c r="M101" s="14">
        <f t="shared" si="9"/>
        <v>55.809615563508515</v>
      </c>
      <c r="O101" s="13">
        <v>2500</v>
      </c>
      <c r="P101" s="31">
        <f>Datos!I104</f>
        <v>51.927170185127643</v>
      </c>
      <c r="Q101" s="31">
        <f>Datos!J104</f>
        <v>52.91054993165892</v>
      </c>
      <c r="R101" s="31">
        <f>Datos!K104</f>
        <v>52.146500778198245</v>
      </c>
      <c r="S101" s="31">
        <f>Datos!L104</f>
        <v>53.98143144963862</v>
      </c>
      <c r="T101" s="31">
        <f>Datos!M104</f>
        <v>53.191616959042022</v>
      </c>
      <c r="U101" s="18">
        <v>5</v>
      </c>
      <c r="V101" s="14">
        <f t="shared" si="11"/>
        <v>52.895367257959094</v>
      </c>
    </row>
    <row r="102" spans="2:22" x14ac:dyDescent="0.2">
      <c r="B102" s="13">
        <v>3150</v>
      </c>
      <c r="C102" s="37">
        <f>Datos!G157</f>
        <v>27.119830727724199</v>
      </c>
      <c r="E102" s="5">
        <f t="shared" si="10"/>
        <v>3.4983105537896004</v>
      </c>
      <c r="F102" s="13">
        <v>3150</v>
      </c>
      <c r="G102" s="31">
        <f>Datos!D105</f>
        <v>54.894410439745876</v>
      </c>
      <c r="H102" s="31">
        <f>Datos!E105</f>
        <v>55.155030562002445</v>
      </c>
      <c r="I102" s="31">
        <f>Datos!F105</f>
        <v>56.14096158568622</v>
      </c>
      <c r="J102" s="31">
        <f>Datos!G105</f>
        <v>58.966805153609442</v>
      </c>
      <c r="K102" s="31">
        <f>Datos!H105</f>
        <v>55.599963786788749</v>
      </c>
      <c r="L102" s="18">
        <v>5</v>
      </c>
      <c r="M102" s="14">
        <f t="shared" si="9"/>
        <v>56.432449459187588</v>
      </c>
      <c r="O102" s="13">
        <v>3150</v>
      </c>
      <c r="P102" s="31">
        <f>Datos!I105</f>
        <v>51.462200567243343</v>
      </c>
      <c r="Q102" s="31">
        <f>Datos!J105</f>
        <v>51.861854140712566</v>
      </c>
      <c r="R102" s="31">
        <f>Datos!K105</f>
        <v>51.045509685559217</v>
      </c>
      <c r="S102" s="31">
        <f>Datos!L105</f>
        <v>54.434043632758844</v>
      </c>
      <c r="T102" s="31">
        <f>Datos!M105</f>
        <v>52.437261501948036</v>
      </c>
      <c r="U102" s="18">
        <v>5</v>
      </c>
      <c r="V102" s="14">
        <f t="shared" si="11"/>
        <v>52.423642172713521</v>
      </c>
    </row>
    <row r="103" spans="2:22" x14ac:dyDescent="0.2">
      <c r="B103" s="13">
        <v>4000</v>
      </c>
      <c r="C103" s="37">
        <f>Datos!G158</f>
        <v>28.055639217578968</v>
      </c>
      <c r="E103" s="5">
        <f t="shared" si="10"/>
        <v>3.6020599913279625</v>
      </c>
      <c r="F103" s="13">
        <v>4000</v>
      </c>
      <c r="G103" s="31">
        <f>Datos!D106</f>
        <v>48.27461858896109</v>
      </c>
      <c r="H103" s="31">
        <f>Datos!E106</f>
        <v>48.442255478871019</v>
      </c>
      <c r="I103" s="31">
        <f>Datos!F106</f>
        <v>49.652662221451251</v>
      </c>
      <c r="J103" s="31">
        <f>Datos!G106</f>
        <v>51.721378465213689</v>
      </c>
      <c r="K103" s="31">
        <f>Datos!H106</f>
        <v>48.257346834145935</v>
      </c>
      <c r="L103" s="18">
        <v>5</v>
      </c>
      <c r="M103" s="14">
        <f t="shared" si="9"/>
        <v>49.49366425659629</v>
      </c>
      <c r="O103" s="13">
        <v>4000</v>
      </c>
      <c r="P103" s="31">
        <f>Datos!I106</f>
        <v>45.368569486470335</v>
      </c>
      <c r="Q103" s="31">
        <f>Datos!J106</f>
        <v>46.73267930988581</v>
      </c>
      <c r="R103" s="31">
        <f>Datos!K106</f>
        <v>45.114543846216094</v>
      </c>
      <c r="S103" s="31">
        <f>Datos!L106</f>
        <v>49.093012748969777</v>
      </c>
      <c r="T103" s="31">
        <f>Datos!M106</f>
        <v>47.621406415152173</v>
      </c>
      <c r="U103" s="18">
        <v>5</v>
      </c>
      <c r="V103" s="14">
        <f t="shared" si="11"/>
        <v>47.041489297610823</v>
      </c>
    </row>
    <row r="104" spans="2:22" x14ac:dyDescent="0.2">
      <c r="B104" s="15">
        <v>5000</v>
      </c>
      <c r="C104" s="37">
        <f>Datos!G159</f>
        <v>29.046637214067978</v>
      </c>
      <c r="E104" s="5">
        <f t="shared" si="10"/>
        <v>3.6989700043360187</v>
      </c>
      <c r="F104" s="15">
        <v>5000</v>
      </c>
      <c r="G104" s="32">
        <f>Datos!D107</f>
        <v>43.644966703734248</v>
      </c>
      <c r="H104" s="32">
        <f>Datos!E107</f>
        <v>44.761103270325478</v>
      </c>
      <c r="I104" s="32">
        <f>Datos!F107</f>
        <v>44.557522707933572</v>
      </c>
      <c r="J104" s="32">
        <f>Datos!G107</f>
        <v>46.301244650648236</v>
      </c>
      <c r="K104" s="32">
        <f>Datos!H107</f>
        <v>43.346927166526356</v>
      </c>
      <c r="L104" s="16">
        <v>5</v>
      </c>
      <c r="M104" s="17">
        <f t="shared" si="9"/>
        <v>44.651419312717032</v>
      </c>
      <c r="O104" s="15">
        <v>5000</v>
      </c>
      <c r="P104" s="32">
        <f>Datos!I107</f>
        <v>41.78083084140696</v>
      </c>
      <c r="Q104" s="32">
        <f>Datos!J107</f>
        <v>42.541348504305397</v>
      </c>
      <c r="R104" s="32">
        <f>Datos!K107</f>
        <v>41.62541635063257</v>
      </c>
      <c r="S104" s="32">
        <f>Datos!L107</f>
        <v>43.943162846827242</v>
      </c>
      <c r="T104" s="32">
        <f>Datos!M107</f>
        <v>43.34901003988962</v>
      </c>
      <c r="U104" s="16">
        <v>5</v>
      </c>
      <c r="V104" s="17">
        <f t="shared" si="11"/>
        <v>42.740452238964828</v>
      </c>
    </row>
    <row r="107" spans="2:22" x14ac:dyDescent="0.2">
      <c r="B107" s="155" t="s">
        <v>46</v>
      </c>
      <c r="C107" s="156"/>
      <c r="F107" s="159" t="s">
        <v>46</v>
      </c>
      <c r="G107" s="160"/>
      <c r="H107" s="160"/>
      <c r="I107" s="160"/>
      <c r="J107" s="160"/>
      <c r="K107" s="160"/>
      <c r="L107" s="160"/>
      <c r="M107" s="161"/>
      <c r="O107" s="159" t="s">
        <v>46</v>
      </c>
      <c r="P107" s="160"/>
      <c r="Q107" s="160"/>
      <c r="R107" s="160"/>
      <c r="S107" s="160"/>
      <c r="T107" s="160"/>
      <c r="U107" s="160"/>
      <c r="V107" s="161"/>
    </row>
    <row r="108" spans="2:22" x14ac:dyDescent="0.2">
      <c r="B108" s="157" t="s">
        <v>62</v>
      </c>
      <c r="C108" s="158"/>
      <c r="F108" s="162" t="s">
        <v>25</v>
      </c>
      <c r="G108" s="163"/>
      <c r="H108" s="163"/>
      <c r="I108" s="163"/>
      <c r="J108" s="163"/>
      <c r="K108" s="163"/>
      <c r="L108" s="163"/>
      <c r="M108" s="164"/>
      <c r="O108" s="162" t="s">
        <v>28</v>
      </c>
      <c r="P108" s="163"/>
      <c r="Q108" s="163"/>
      <c r="R108" s="163"/>
      <c r="S108" s="163"/>
      <c r="T108" s="163"/>
      <c r="U108" s="163"/>
      <c r="V108" s="164"/>
    </row>
    <row r="109" spans="2:22" ht="34" x14ac:dyDescent="0.2">
      <c r="B109" s="9" t="s">
        <v>20</v>
      </c>
      <c r="C109" s="36" t="s">
        <v>63</v>
      </c>
      <c r="F109" s="9" t="s">
        <v>20</v>
      </c>
      <c r="G109" s="25" t="s">
        <v>64</v>
      </c>
      <c r="H109" s="25" t="s">
        <v>65</v>
      </c>
      <c r="I109" s="25" t="s">
        <v>66</v>
      </c>
      <c r="J109" s="25" t="s">
        <v>67</v>
      </c>
      <c r="K109" s="25" t="s">
        <v>68</v>
      </c>
      <c r="L109" s="11" t="s">
        <v>26</v>
      </c>
      <c r="M109" s="12" t="s">
        <v>27</v>
      </c>
      <c r="O109" s="9" t="s">
        <v>20</v>
      </c>
      <c r="P109" s="25" t="s">
        <v>69</v>
      </c>
      <c r="Q109" s="25" t="s">
        <v>70</v>
      </c>
      <c r="R109" s="25" t="s">
        <v>71</v>
      </c>
      <c r="S109" s="25" t="s">
        <v>72</v>
      </c>
      <c r="T109" s="25" t="s">
        <v>73</v>
      </c>
      <c r="U109" s="11" t="s">
        <v>26</v>
      </c>
      <c r="V109" s="12" t="s">
        <v>49</v>
      </c>
    </row>
    <row r="110" spans="2:22" x14ac:dyDescent="0.2">
      <c r="B110" s="13">
        <v>50</v>
      </c>
      <c r="C110" s="37">
        <f>Datos!H139</f>
        <v>28.431945418000002</v>
      </c>
      <c r="E110" s="5">
        <f>LOG10(F110)</f>
        <v>1.6989700043360187</v>
      </c>
      <c r="F110" s="13">
        <v>50</v>
      </c>
      <c r="G110" s="31">
        <f>Datos!D113</f>
        <v>47.686776595329171</v>
      </c>
      <c r="H110" s="31">
        <f>Datos!E113</f>
        <v>37.667957436108424</v>
      </c>
      <c r="I110" s="31">
        <f>Datos!F113</f>
        <v>53.592499591481939</v>
      </c>
      <c r="J110" s="31">
        <f>Datos!G113</f>
        <v>54.589536551969594</v>
      </c>
      <c r="K110" s="31">
        <f>Datos!H113</f>
        <v>45.810425315746997</v>
      </c>
      <c r="L110" s="18">
        <v>5</v>
      </c>
      <c r="M110" s="14">
        <f t="shared" ref="M110:M130" si="12">10*LOG10((10^(G110/10)+10^(H110/10)+10^(I110/10)+10^(J110/10)+10^(K110/10))/L110)</f>
        <v>50.927637327275932</v>
      </c>
      <c r="O110" s="13">
        <v>50</v>
      </c>
      <c r="P110" s="31">
        <f>Datos!I113</f>
        <v>43.6961125745893</v>
      </c>
      <c r="Q110" s="31">
        <f>Datos!J113</f>
        <v>42.696112574589336</v>
      </c>
      <c r="R110" s="31">
        <f>Datos!K113</f>
        <v>53.323372266126341</v>
      </c>
      <c r="S110" s="31">
        <f>Datos!L113</f>
        <v>53.569751009894809</v>
      </c>
      <c r="T110" s="31">
        <f>Datos!M113</f>
        <v>43.85327848493165</v>
      </c>
      <c r="U110" s="18">
        <v>5</v>
      </c>
      <c r="V110" s="14">
        <f>10*LOG10((10^(P110/10)+10^(Q110/10)+10^(R110/10)+10^(S110/10)+10^(T110/10))/U110)</f>
        <v>50.075400015583256</v>
      </c>
    </row>
    <row r="111" spans="2:22" x14ac:dyDescent="0.2">
      <c r="B111" s="13">
        <v>63</v>
      </c>
      <c r="C111" s="37">
        <f>Datos!H140</f>
        <v>22.058936862420001</v>
      </c>
      <c r="E111" s="5">
        <f t="shared" ref="E111:E130" si="13">LOG10(F111)</f>
        <v>1.7993405494535817</v>
      </c>
      <c r="F111" s="13">
        <v>63</v>
      </c>
      <c r="G111" s="31">
        <f>Datos!D114</f>
        <v>34.516979952356706</v>
      </c>
      <c r="H111" s="31">
        <f>Datos!E114</f>
        <v>35.085649138646765</v>
      </c>
      <c r="I111" s="31">
        <f>Datos!F114</f>
        <v>37.209428820306854</v>
      </c>
      <c r="J111" s="31">
        <f>Datos!G114</f>
        <v>38.740785904567034</v>
      </c>
      <c r="K111" s="31">
        <f>Datos!H114</f>
        <v>36.1071615191738</v>
      </c>
      <c r="L111" s="18">
        <v>5</v>
      </c>
      <c r="M111" s="14">
        <f t="shared" si="12"/>
        <v>36.604431358309782</v>
      </c>
      <c r="O111" s="13">
        <v>63</v>
      </c>
      <c r="P111" s="31">
        <f>Datos!I114</f>
        <v>41.015482722000002</v>
      </c>
      <c r="Q111" s="31">
        <f>Datos!J114</f>
        <v>42.555501548272197</v>
      </c>
      <c r="R111" s="31">
        <f>Datos!K114</f>
        <v>43.929565247514759</v>
      </c>
      <c r="S111" s="31">
        <f>Datos!L114</f>
        <v>47.780341757616952</v>
      </c>
      <c r="T111" s="31">
        <f>Datos!M114</f>
        <v>40.876989919592397</v>
      </c>
      <c r="U111" s="18">
        <v>5</v>
      </c>
      <c r="V111" s="14">
        <f>10*LOG10((10^(P111/10)+10^(Q111/10)+10^(R111/10)+10^(S111/10)+10^(T111/10))/U111)</f>
        <v>44.068193971471878</v>
      </c>
    </row>
    <row r="112" spans="2:22" x14ac:dyDescent="0.2">
      <c r="B112" s="13">
        <v>80</v>
      </c>
      <c r="C112" s="37">
        <f>Datos!H141</f>
        <v>19.9661818936953</v>
      </c>
      <c r="E112" s="5">
        <f t="shared" si="13"/>
        <v>1.9030899869919435</v>
      </c>
      <c r="F112" s="13">
        <v>80</v>
      </c>
      <c r="G112" s="31">
        <f>Datos!D115</f>
        <v>43.547765518302349</v>
      </c>
      <c r="H112" s="31">
        <f>Datos!E115</f>
        <v>46.384922876425669</v>
      </c>
      <c r="I112" s="31">
        <f>Datos!F115</f>
        <v>53.144419870394962</v>
      </c>
      <c r="J112" s="31">
        <f>Datos!G115</f>
        <v>45.013008393437026</v>
      </c>
      <c r="K112" s="31">
        <f>Datos!H115</f>
        <v>45.473574788946898</v>
      </c>
      <c r="L112" s="18">
        <v>5</v>
      </c>
      <c r="M112" s="14">
        <f t="shared" si="12"/>
        <v>48.317311495961107</v>
      </c>
      <c r="O112" s="13">
        <v>80</v>
      </c>
      <c r="P112" s="31">
        <f>Datos!I115</f>
        <v>45.770224261999999</v>
      </c>
      <c r="Q112" s="31">
        <f>Datos!J115</f>
        <v>46.440677022426193</v>
      </c>
      <c r="R112" s="31">
        <f>Datos!K115</f>
        <v>52.659493986492286</v>
      </c>
      <c r="S112" s="31">
        <f>Datos!L115</f>
        <v>44.07729071459724</v>
      </c>
      <c r="T112" s="31">
        <f>Datos!M115</f>
        <v>47.779530363262822</v>
      </c>
      <c r="U112" s="18">
        <v>5</v>
      </c>
      <c r="V112" s="14">
        <f t="shared" ref="V112:V130" si="14">10*LOG10((10^(P112/10)+10^(Q112/10)+10^(R112/10)+10^(S112/10)+10^(T112/10))/U112)</f>
        <v>48.4738026129424</v>
      </c>
    </row>
    <row r="113" spans="2:22" x14ac:dyDescent="0.2">
      <c r="B113" s="13">
        <v>100</v>
      </c>
      <c r="C113" s="37">
        <f>Datos!H142</f>
        <v>20.111462289528141</v>
      </c>
      <c r="E113" s="5">
        <f t="shared" si="13"/>
        <v>2</v>
      </c>
      <c r="F113" s="13">
        <v>100</v>
      </c>
      <c r="G113" s="31">
        <f>Datos!D116</f>
        <v>40.440552352079706</v>
      </c>
      <c r="H113" s="31">
        <f>Datos!E116</f>
        <v>40.093932216049083</v>
      </c>
      <c r="I113" s="31">
        <f>Datos!F116</f>
        <v>47.866349387490452</v>
      </c>
      <c r="J113" s="31">
        <f>Datos!G116</f>
        <v>39.937776132465181</v>
      </c>
      <c r="K113" s="31">
        <f>Datos!H116</f>
        <v>40.2882660350161</v>
      </c>
      <c r="L113" s="18">
        <v>5</v>
      </c>
      <c r="M113" s="14">
        <f t="shared" si="12"/>
        <v>43.139258373893568</v>
      </c>
      <c r="O113" s="13">
        <v>100</v>
      </c>
      <c r="P113" s="31">
        <f>Datos!I116</f>
        <v>49.333216504879999</v>
      </c>
      <c r="Q113" s="31">
        <f>Datos!J116</f>
        <v>50.34933216504875</v>
      </c>
      <c r="R113" s="31">
        <f>Datos!K116</f>
        <v>55.175745926704877</v>
      </c>
      <c r="S113" s="31">
        <f>Datos!L116</f>
        <v>43.953334015781437</v>
      </c>
      <c r="T113" s="31">
        <f>Datos!M116</f>
        <v>48.494942344051843</v>
      </c>
      <c r="U113" s="18">
        <v>5</v>
      </c>
      <c r="V113" s="14">
        <f t="shared" si="14"/>
        <v>50.927156597899454</v>
      </c>
    </row>
    <row r="114" spans="2:22" x14ac:dyDescent="0.2">
      <c r="B114" s="13">
        <v>125</v>
      </c>
      <c r="C114" s="37">
        <f>Datos!H143</f>
        <v>19.830534385260499</v>
      </c>
      <c r="E114" s="5">
        <f t="shared" si="13"/>
        <v>2.0969100130080562</v>
      </c>
      <c r="F114" s="13">
        <v>125</v>
      </c>
      <c r="G114" s="31">
        <f>Datos!D117</f>
        <v>43.669164497460891</v>
      </c>
      <c r="H114" s="31">
        <f>Datos!E117</f>
        <v>45.064681736290034</v>
      </c>
      <c r="I114" s="31">
        <f>Datos!F117</f>
        <v>48.94335843418834</v>
      </c>
      <c r="J114" s="31">
        <f>Datos!G117</f>
        <v>44.020417847160502</v>
      </c>
      <c r="K114" s="31">
        <f>Datos!H117</f>
        <v>44.913541959917701</v>
      </c>
      <c r="L114" s="18">
        <v>5</v>
      </c>
      <c r="M114" s="14">
        <f t="shared" si="12"/>
        <v>45.798155537483645</v>
      </c>
      <c r="O114" s="13">
        <v>125</v>
      </c>
      <c r="P114" s="31">
        <f>Datos!I117</f>
        <v>46.418503710000003</v>
      </c>
      <c r="Q114" s="31">
        <f>Datos!J117</f>
        <v>44.283214185037089</v>
      </c>
      <c r="R114" s="31">
        <f>Datos!K117</f>
        <v>48.658535251417042</v>
      </c>
      <c r="S114" s="31">
        <f>Datos!L117</f>
        <v>48.279019490954944</v>
      </c>
      <c r="T114" s="31">
        <f>Datos!M117</f>
        <v>46.58019232726263</v>
      </c>
      <c r="U114" s="18">
        <v>5</v>
      </c>
      <c r="V114" s="14">
        <f t="shared" si="14"/>
        <v>47.107254508457075</v>
      </c>
    </row>
    <row r="115" spans="2:22" x14ac:dyDescent="0.2">
      <c r="B115" s="13">
        <v>160</v>
      </c>
      <c r="C115" s="37">
        <f>Datos!H144</f>
        <v>22.548548216807799</v>
      </c>
      <c r="E115" s="5">
        <f t="shared" si="13"/>
        <v>2.2041199826559246</v>
      </c>
      <c r="F115" s="13">
        <v>160</v>
      </c>
      <c r="G115" s="31">
        <f>Datos!D118</f>
        <v>49.856582698537345</v>
      </c>
      <c r="H115" s="31">
        <f>Datos!E118</f>
        <v>44.836880876662882</v>
      </c>
      <c r="I115" s="31">
        <f>Datos!F118</f>
        <v>52.650815357362603</v>
      </c>
      <c r="J115" s="31">
        <f>Datos!G118</f>
        <v>46.836867755822723</v>
      </c>
      <c r="K115" s="31">
        <f>Datos!H118</f>
        <v>50.1847932879434</v>
      </c>
      <c r="L115" s="18">
        <v>5</v>
      </c>
      <c r="M115" s="14">
        <f t="shared" si="12"/>
        <v>49.674902743879095</v>
      </c>
      <c r="O115" s="13">
        <v>160</v>
      </c>
      <c r="P115" s="31">
        <f>Datos!I118</f>
        <v>47.23137173648</v>
      </c>
      <c r="Q115" s="31">
        <f>Datos!J118</f>
        <v>44.992313717364802</v>
      </c>
      <c r="R115" s="31">
        <f>Datos!K118</f>
        <v>52.925270732744828</v>
      </c>
      <c r="S115" s="31">
        <f>Datos!L118</f>
        <v>48.999664173311402</v>
      </c>
      <c r="T115" s="31">
        <f>Datos!M118</f>
        <v>49.935749118354138</v>
      </c>
      <c r="U115" s="18">
        <v>5</v>
      </c>
      <c r="V115" s="14">
        <f t="shared" si="14"/>
        <v>49.623774448358247</v>
      </c>
    </row>
    <row r="116" spans="2:22" x14ac:dyDescent="0.2">
      <c r="B116" s="13">
        <v>200</v>
      </c>
      <c r="C116" s="37">
        <f>Datos!H145</f>
        <v>20.544889454850001</v>
      </c>
      <c r="E116" s="5">
        <f t="shared" si="13"/>
        <v>2.3010299956639813</v>
      </c>
      <c r="F116" s="13">
        <v>200</v>
      </c>
      <c r="G116" s="31">
        <f>Datos!D119</f>
        <v>49.197140049578536</v>
      </c>
      <c r="H116" s="31">
        <f>Datos!E119</f>
        <v>48.554852380820201</v>
      </c>
      <c r="I116" s="31">
        <f>Datos!F119</f>
        <v>46.149956238292773</v>
      </c>
      <c r="J116" s="31">
        <f>Datos!G119</f>
        <v>47.231949906088445</v>
      </c>
      <c r="K116" s="31">
        <f>Datos!H119</f>
        <v>49.852374523108097</v>
      </c>
      <c r="L116" s="18">
        <v>5</v>
      </c>
      <c r="M116" s="14">
        <f t="shared" si="12"/>
        <v>48.395428244009338</v>
      </c>
      <c r="O116" s="13">
        <v>200</v>
      </c>
      <c r="P116" s="31">
        <f>Datos!I119</f>
        <v>48.474540747399999</v>
      </c>
      <c r="Q116" s="31">
        <f>Datos!J119</f>
        <v>47.178474540747381</v>
      </c>
      <c r="R116" s="31">
        <f>Datos!K119</f>
        <v>52.671948284451574</v>
      </c>
      <c r="S116" s="31">
        <f>Datos!L119</f>
        <v>51.244709385251539</v>
      </c>
      <c r="T116" s="31">
        <f>Datos!M119</f>
        <v>49.59768388098496</v>
      </c>
      <c r="U116" s="18">
        <v>5</v>
      </c>
      <c r="V116" s="14">
        <f t="shared" si="14"/>
        <v>50.269041915769101</v>
      </c>
    </row>
    <row r="117" spans="2:22" x14ac:dyDescent="0.2">
      <c r="B117" s="13">
        <v>250</v>
      </c>
      <c r="C117" s="37">
        <f>Datos!H146</f>
        <v>21.121295919000001</v>
      </c>
      <c r="E117" s="5">
        <f t="shared" si="13"/>
        <v>2.3979400086720375</v>
      </c>
      <c r="F117" s="13">
        <v>250</v>
      </c>
      <c r="G117" s="31">
        <f>Datos!D120</f>
        <v>46.38404324517321</v>
      </c>
      <c r="H117" s="31">
        <f>Datos!E120</f>
        <v>48.352154200804151</v>
      </c>
      <c r="I117" s="31">
        <f>Datos!F120</f>
        <v>46.765037095615632</v>
      </c>
      <c r="J117" s="31">
        <f>Datos!G120</f>
        <v>49.785343792396525</v>
      </c>
      <c r="K117" s="31">
        <f>Datos!H120</f>
        <v>47.600968064299998</v>
      </c>
      <c r="L117" s="18">
        <v>5</v>
      </c>
      <c r="M117" s="14">
        <f t="shared" si="12"/>
        <v>47.953657390698716</v>
      </c>
      <c r="O117" s="13">
        <v>250</v>
      </c>
      <c r="P117" s="31">
        <f>Datos!I120</f>
        <v>48.424177836360002</v>
      </c>
      <c r="Q117" s="31">
        <f>Datos!J120</f>
        <v>47.344241778363561</v>
      </c>
      <c r="R117" s="31">
        <f>Datos!K120</f>
        <v>45.855430118447842</v>
      </c>
      <c r="S117" s="31">
        <f>Datos!L120</f>
        <v>52.076042760460119</v>
      </c>
      <c r="T117" s="31">
        <f>Datos!M120</f>
        <v>49.631548494189353</v>
      </c>
      <c r="U117" s="18">
        <v>5</v>
      </c>
      <c r="V117" s="14">
        <f t="shared" si="14"/>
        <v>49.195848272816463</v>
      </c>
    </row>
    <row r="118" spans="2:22" x14ac:dyDescent="0.2">
      <c r="B118" s="13">
        <v>315</v>
      </c>
      <c r="C118" s="37">
        <f>Datos!H147</f>
        <v>21.4036585346499</v>
      </c>
      <c r="E118" s="5">
        <f t="shared" si="13"/>
        <v>2.4983105537896004</v>
      </c>
      <c r="F118" s="13">
        <v>315</v>
      </c>
      <c r="G118" s="31">
        <f>Datos!D121</f>
        <v>46.119253717251681</v>
      </c>
      <c r="H118" s="31">
        <f>Datos!E121</f>
        <v>47.32103318018271</v>
      </c>
      <c r="I118" s="31">
        <f>Datos!F121</f>
        <v>47.796637981613245</v>
      </c>
      <c r="J118" s="31">
        <f>Datos!G121</f>
        <v>48.833889067670171</v>
      </c>
      <c r="K118" s="31">
        <f>Datos!H121</f>
        <v>47.9324555684505</v>
      </c>
      <c r="L118" s="18">
        <v>5</v>
      </c>
      <c r="M118" s="14">
        <f t="shared" si="12"/>
        <v>47.688840939966099</v>
      </c>
      <c r="O118" s="13">
        <v>315</v>
      </c>
      <c r="P118" s="31">
        <f>Datos!I121</f>
        <v>49.025640000000003</v>
      </c>
      <c r="Q118" s="31">
        <f>Datos!J121</f>
        <v>47.296763402564018</v>
      </c>
      <c r="R118" s="31">
        <f>Datos!K121</f>
        <v>49.854637980347263</v>
      </c>
      <c r="S118" s="31">
        <f>Datos!L121</f>
        <v>50.684732263065079</v>
      </c>
      <c r="T118" s="31">
        <f>Datos!M121</f>
        <v>48.10710220564205</v>
      </c>
      <c r="U118" s="18">
        <v>5</v>
      </c>
      <c r="V118" s="14">
        <f t="shared" si="14"/>
        <v>49.15951655313706</v>
      </c>
    </row>
    <row r="119" spans="2:22" x14ac:dyDescent="0.2">
      <c r="B119" s="13">
        <v>400</v>
      </c>
      <c r="C119" s="37">
        <f>Datos!H148</f>
        <v>21.201757605512039</v>
      </c>
      <c r="E119" s="5">
        <f t="shared" si="13"/>
        <v>2.6020599913279625</v>
      </c>
      <c r="F119" s="13">
        <v>400</v>
      </c>
      <c r="G119" s="31">
        <f>Datos!D122</f>
        <v>45.746595083777585</v>
      </c>
      <c r="H119" s="31">
        <f>Datos!E122</f>
        <v>47.248245783731448</v>
      </c>
      <c r="I119" s="31">
        <f>Datos!F122</f>
        <v>47.31865305891386</v>
      </c>
      <c r="J119" s="31">
        <f>Datos!G122</f>
        <v>49.996833263888639</v>
      </c>
      <c r="K119" s="31">
        <f>Datos!H122</f>
        <v>48.359957429438701</v>
      </c>
      <c r="L119" s="18">
        <v>5</v>
      </c>
      <c r="M119" s="14">
        <f t="shared" si="12"/>
        <v>47.966171829538595</v>
      </c>
      <c r="O119" s="13">
        <v>400</v>
      </c>
      <c r="P119" s="31">
        <f>Datos!I122</f>
        <v>45.379249447200003</v>
      </c>
      <c r="Q119" s="31">
        <f>Datos!J122</f>
        <v>46.453792494471976</v>
      </c>
      <c r="R119" s="31">
        <f>Datos!K122</f>
        <v>44.029323435786118</v>
      </c>
      <c r="S119" s="31">
        <f>Datos!L122</f>
        <v>46.715450053539094</v>
      </c>
      <c r="T119" s="31">
        <f>Datos!M122</f>
        <v>44.069432539878321</v>
      </c>
      <c r="U119" s="18">
        <v>5</v>
      </c>
      <c r="V119" s="14">
        <f t="shared" si="14"/>
        <v>45.476687809567693</v>
      </c>
    </row>
    <row r="120" spans="2:22" x14ac:dyDescent="0.2">
      <c r="B120" s="13">
        <v>500</v>
      </c>
      <c r="C120" s="37">
        <f>Datos!H149</f>
        <v>21.712608980355704</v>
      </c>
      <c r="E120" s="5">
        <f t="shared" si="13"/>
        <v>2.6989700043360187</v>
      </c>
      <c r="F120" s="13">
        <v>500</v>
      </c>
      <c r="G120" s="31">
        <f>Datos!D123</f>
        <v>43.664276432635177</v>
      </c>
      <c r="H120" s="31">
        <f>Datos!E123</f>
        <v>45.477282030362609</v>
      </c>
      <c r="I120" s="31">
        <f>Datos!F123</f>
        <v>43.729847468852078</v>
      </c>
      <c r="J120" s="31">
        <f>Datos!G123</f>
        <v>44.045591352602415</v>
      </c>
      <c r="K120" s="31">
        <f>Datos!H123</f>
        <v>44.619534141138999</v>
      </c>
      <c r="L120" s="18">
        <v>5</v>
      </c>
      <c r="M120" s="14">
        <f t="shared" si="12"/>
        <v>44.361775964907473</v>
      </c>
      <c r="O120" s="13">
        <v>500</v>
      </c>
      <c r="P120" s="31">
        <f>Datos!I123</f>
        <v>41.073362101199997</v>
      </c>
      <c r="Q120" s="31">
        <f>Datos!J123</f>
        <v>41.339073362101196</v>
      </c>
      <c r="R120" s="31">
        <f>Datos!K123</f>
        <v>42.294245307288399</v>
      </c>
      <c r="S120" s="31">
        <f>Datos!L123</f>
        <v>43.261465628170271</v>
      </c>
      <c r="T120" s="31">
        <f>Datos!M123</f>
        <v>40.917712403859021</v>
      </c>
      <c r="U120" s="18">
        <v>5</v>
      </c>
      <c r="V120" s="14">
        <f t="shared" si="14"/>
        <v>41.870632828211839</v>
      </c>
    </row>
    <row r="121" spans="2:22" x14ac:dyDescent="0.2">
      <c r="B121" s="13">
        <v>630</v>
      </c>
      <c r="C121" s="37">
        <f>Datos!H150</f>
        <v>22.420569111530046</v>
      </c>
      <c r="E121" s="5">
        <f t="shared" si="13"/>
        <v>2.7993405494535817</v>
      </c>
      <c r="F121" s="13">
        <v>630</v>
      </c>
      <c r="G121" s="31">
        <f>Datos!D124</f>
        <v>40.138714694265111</v>
      </c>
      <c r="H121" s="31">
        <f>Datos!E124</f>
        <v>40.234641031170568</v>
      </c>
      <c r="I121" s="31">
        <f>Datos!F124</f>
        <v>39.179974432855211</v>
      </c>
      <c r="J121" s="31">
        <f>Datos!G124</f>
        <v>39.059790027042141</v>
      </c>
      <c r="K121" s="31">
        <f>Datos!H124</f>
        <v>40.113702421781497</v>
      </c>
      <c r="L121" s="18">
        <v>5</v>
      </c>
      <c r="M121" s="14">
        <f t="shared" si="12"/>
        <v>39.775199907635994</v>
      </c>
      <c r="O121" s="13">
        <v>630</v>
      </c>
      <c r="P121" s="31">
        <f>Datos!I124</f>
        <v>37.768346707100001</v>
      </c>
      <c r="Q121" s="31">
        <f>Datos!J124</f>
        <v>38.122768346707105</v>
      </c>
      <c r="R121" s="31">
        <f>Datos!K124</f>
        <v>42.540409966207392</v>
      </c>
      <c r="S121" s="31">
        <f>Datos!L124</f>
        <v>40.471438828255366</v>
      </c>
      <c r="T121" s="31">
        <f>Datos!M124</f>
        <v>37.48166231081526</v>
      </c>
      <c r="U121" s="18">
        <v>5</v>
      </c>
      <c r="V121" s="14">
        <f t="shared" si="14"/>
        <v>39.746747481175383</v>
      </c>
    </row>
    <row r="122" spans="2:22" x14ac:dyDescent="0.2">
      <c r="B122" s="13">
        <v>800</v>
      </c>
      <c r="C122" s="37">
        <f>Datos!H151</f>
        <v>23.830878852901598</v>
      </c>
      <c r="E122" s="5">
        <f t="shared" si="13"/>
        <v>2.9030899869919438</v>
      </c>
      <c r="F122" s="13">
        <v>800</v>
      </c>
      <c r="G122" s="31">
        <f>Datos!D125</f>
        <v>34.882077393247123</v>
      </c>
      <c r="H122" s="31">
        <f>Datos!E125</f>
        <v>34.694387385185728</v>
      </c>
      <c r="I122" s="31">
        <f>Datos!F125</f>
        <v>35.698718642453464</v>
      </c>
      <c r="J122" s="31">
        <f>Datos!G125</f>
        <v>35.781894111102993</v>
      </c>
      <c r="K122" s="31">
        <f>Datos!H125</f>
        <v>34.866004520398</v>
      </c>
      <c r="L122" s="18">
        <v>5</v>
      </c>
      <c r="M122" s="14">
        <f t="shared" si="12"/>
        <v>35.209156225785826</v>
      </c>
      <c r="O122" s="13">
        <v>800</v>
      </c>
      <c r="P122" s="31">
        <f>Datos!I125</f>
        <v>34.826915999999997</v>
      </c>
      <c r="Q122" s="31">
        <f>Datos!J125</f>
        <v>34.172304282691563</v>
      </c>
      <c r="R122" s="31">
        <f>Datos!K125</f>
        <v>34.057442882796529</v>
      </c>
      <c r="S122" s="31">
        <f>Datos!L125</f>
        <v>33.776126894904571</v>
      </c>
      <c r="T122" s="31">
        <f>Datos!M125</f>
        <v>35.075102274799065</v>
      </c>
      <c r="U122" s="18">
        <v>5</v>
      </c>
      <c r="V122" s="14">
        <f t="shared" si="14"/>
        <v>34.409319374351249</v>
      </c>
    </row>
    <row r="123" spans="2:22" x14ac:dyDescent="0.2">
      <c r="B123" s="13">
        <v>1000</v>
      </c>
      <c r="C123" s="37">
        <f>Datos!H152</f>
        <v>23.145730824099999</v>
      </c>
      <c r="E123" s="5">
        <f t="shared" si="13"/>
        <v>3</v>
      </c>
      <c r="F123" s="13">
        <v>1000</v>
      </c>
      <c r="G123" s="31">
        <f>Datos!D126</f>
        <v>33.86019726653597</v>
      </c>
      <c r="H123" s="31">
        <f>Datos!E126</f>
        <v>33.280853203847897</v>
      </c>
      <c r="I123" s="31">
        <f>Datos!F126</f>
        <v>32.614597193767572</v>
      </c>
      <c r="J123" s="31">
        <f>Datos!G126</f>
        <v>32.474585788574785</v>
      </c>
      <c r="K123" s="31">
        <f>Datos!H126</f>
        <v>34.715227848034701</v>
      </c>
      <c r="L123" s="18">
        <v>5</v>
      </c>
      <c r="M123" s="14">
        <f t="shared" si="12"/>
        <v>33.469854877434898</v>
      </c>
      <c r="O123" s="13">
        <v>1000</v>
      </c>
      <c r="P123" s="31">
        <f>Datos!I126</f>
        <v>32.103658079799999</v>
      </c>
      <c r="Q123" s="31">
        <f>Datos!J126</f>
        <v>34.093103658079755</v>
      </c>
      <c r="R123" s="31">
        <f>Datos!K126</f>
        <v>32.835450313608192</v>
      </c>
      <c r="S123" s="31">
        <f>Datos!L126</f>
        <v>32.477744883935429</v>
      </c>
      <c r="T123" s="31">
        <f>Datos!M126</f>
        <v>31.746637181468611</v>
      </c>
      <c r="U123" s="18">
        <v>5</v>
      </c>
      <c r="V123" s="14">
        <f t="shared" si="14"/>
        <v>32.729938532185329</v>
      </c>
    </row>
    <row r="124" spans="2:22" x14ac:dyDescent="0.2">
      <c r="B124" s="13">
        <v>1250</v>
      </c>
      <c r="C124" s="37">
        <f>Datos!H153</f>
        <v>24.82551266854</v>
      </c>
      <c r="E124" s="5">
        <f t="shared" si="13"/>
        <v>3.0969100130080562</v>
      </c>
      <c r="F124" s="13">
        <v>1250</v>
      </c>
      <c r="G124" s="31">
        <f>Datos!D127</f>
        <v>31.629199193484748</v>
      </c>
      <c r="H124" s="31">
        <f>Datos!E127</f>
        <v>31.00363559080354</v>
      </c>
      <c r="I124" s="31">
        <f>Datos!F127</f>
        <v>31.550903448939092</v>
      </c>
      <c r="J124" s="31">
        <f>Datos!G127</f>
        <v>31.388432607924749</v>
      </c>
      <c r="K124" s="31">
        <f>Datos!H127</f>
        <v>31.344964570399998</v>
      </c>
      <c r="L124" s="18">
        <v>5</v>
      </c>
      <c r="M124" s="14">
        <f t="shared" si="12"/>
        <v>31.388756583947824</v>
      </c>
      <c r="O124" s="13">
        <v>1250</v>
      </c>
      <c r="P124" s="31">
        <f>Datos!I127</f>
        <v>29.342353223</v>
      </c>
      <c r="Q124" s="31">
        <f>Datos!J127</f>
        <v>30.527234235322258</v>
      </c>
      <c r="R124" s="31">
        <f>Datos!K127</f>
        <v>31.173124628513339</v>
      </c>
      <c r="S124" s="31">
        <f>Datos!L127</f>
        <v>30.843717634330677</v>
      </c>
      <c r="T124" s="31">
        <f>Datos!M127</f>
        <v>30.072315121359953</v>
      </c>
      <c r="U124" s="18">
        <v>5</v>
      </c>
      <c r="V124" s="14">
        <f t="shared" si="14"/>
        <v>30.437471542083866</v>
      </c>
    </row>
    <row r="125" spans="2:22" x14ac:dyDescent="0.2">
      <c r="B125" s="13">
        <v>1600</v>
      </c>
      <c r="C125" s="37">
        <f>Datos!H154</f>
        <v>24.246064000000001</v>
      </c>
      <c r="E125" s="5">
        <f t="shared" si="13"/>
        <v>3.2041199826559246</v>
      </c>
      <c r="F125" s="13">
        <v>1600</v>
      </c>
      <c r="G125" s="31">
        <f>Datos!D128</f>
        <v>30.608583594436077</v>
      </c>
      <c r="H125" s="31">
        <f>Datos!E128</f>
        <v>30.305509881770359</v>
      </c>
      <c r="I125" s="31">
        <f>Datos!F128</f>
        <v>31.002540823581821</v>
      </c>
      <c r="J125" s="31">
        <f>Datos!G128</f>
        <v>31.202999641764926</v>
      </c>
      <c r="K125" s="31">
        <f>Datos!H128</f>
        <v>30.475523767060601</v>
      </c>
      <c r="L125" s="18">
        <v>5</v>
      </c>
      <c r="M125" s="14">
        <f t="shared" si="12"/>
        <v>30.731937394773261</v>
      </c>
      <c r="O125" s="13">
        <v>1600</v>
      </c>
      <c r="P125" s="31">
        <f>Datos!I128</f>
        <v>30.593311778804001</v>
      </c>
      <c r="Q125" s="31">
        <f>Datos!J128</f>
        <v>29.759331177880433</v>
      </c>
      <c r="R125" s="31">
        <f>Datos!K128</f>
        <v>31.212210856513284</v>
      </c>
      <c r="S125" s="31">
        <f>Datos!L128</f>
        <v>29.737811962609154</v>
      </c>
      <c r="T125" s="31">
        <f>Datos!M128</f>
        <v>29.831323773290336</v>
      </c>
      <c r="U125" s="18">
        <v>5</v>
      </c>
      <c r="V125" s="14">
        <f t="shared" si="14"/>
        <v>30.267593247491487</v>
      </c>
    </row>
    <row r="126" spans="2:22" x14ac:dyDescent="0.2">
      <c r="B126" s="13">
        <v>2000</v>
      </c>
      <c r="C126" s="37">
        <f>Datos!H155</f>
        <v>25.646910767806204</v>
      </c>
      <c r="E126" s="5">
        <f t="shared" si="13"/>
        <v>3.3010299956639813</v>
      </c>
      <c r="F126" s="13">
        <v>2000</v>
      </c>
      <c r="G126" s="31">
        <f>Datos!D129</f>
        <v>29.936311913960015</v>
      </c>
      <c r="H126" s="31">
        <f>Datos!E129</f>
        <v>29.223899611344574</v>
      </c>
      <c r="I126" s="31">
        <f>Datos!F129</f>
        <v>31.111046713900706</v>
      </c>
      <c r="J126" s="31">
        <f>Datos!G129</f>
        <v>29.481998565574838</v>
      </c>
      <c r="K126" s="31">
        <f>Datos!H129</f>
        <v>29.411988983880001</v>
      </c>
      <c r="L126" s="18">
        <v>5</v>
      </c>
      <c r="M126" s="14">
        <f t="shared" si="12"/>
        <v>29.889388723128135</v>
      </c>
      <c r="O126" s="13">
        <v>2000</v>
      </c>
      <c r="P126" s="31">
        <f>Datos!I129</f>
        <v>27.92109660973</v>
      </c>
      <c r="Q126" s="31">
        <f>Datos!J129</f>
        <v>28.869210966097306</v>
      </c>
      <c r="R126" s="31">
        <f>Datos!K129</f>
        <v>30.105267587568836</v>
      </c>
      <c r="S126" s="31">
        <f>Datos!L129</f>
        <v>29.403203188331382</v>
      </c>
      <c r="T126" s="31">
        <f>Datos!M129</f>
        <v>29.074443906160901</v>
      </c>
      <c r="U126" s="18">
        <v>5</v>
      </c>
      <c r="V126" s="14">
        <f t="shared" si="14"/>
        <v>29.132376066896178</v>
      </c>
    </row>
    <row r="127" spans="2:22" x14ac:dyDescent="0.2">
      <c r="B127" s="13">
        <v>2500</v>
      </c>
      <c r="C127" s="37">
        <f>Datos!H156</f>
        <v>26.413129658328561</v>
      </c>
      <c r="E127" s="5">
        <f t="shared" si="13"/>
        <v>3.3979400086720375</v>
      </c>
      <c r="F127" s="13">
        <v>2500</v>
      </c>
      <c r="G127" s="31">
        <f>Datos!D130</f>
        <v>32.231519695538196</v>
      </c>
      <c r="H127" s="31">
        <f>Datos!E130</f>
        <v>31.050124971579152</v>
      </c>
      <c r="I127" s="31">
        <f>Datos!F130</f>
        <v>34.790471178029087</v>
      </c>
      <c r="J127" s="31">
        <f>Datos!G130</f>
        <v>32.175951785351856</v>
      </c>
      <c r="K127" s="31">
        <f>Datos!H130</f>
        <v>32.231999999999999</v>
      </c>
      <c r="L127" s="18">
        <v>5</v>
      </c>
      <c r="M127" s="14">
        <f t="shared" si="12"/>
        <v>32.686168670258262</v>
      </c>
      <c r="O127" s="13">
        <v>2500</v>
      </c>
      <c r="P127" s="31">
        <f>Datos!I130</f>
        <v>30.2260898764</v>
      </c>
      <c r="Q127" s="31">
        <f>Datos!J130</f>
        <v>31.399226089876365</v>
      </c>
      <c r="R127" s="31">
        <f>Datos!K130</f>
        <v>32.501741596939688</v>
      </c>
      <c r="S127" s="31">
        <f>Datos!L130</f>
        <v>30.684311031600803</v>
      </c>
      <c r="T127" s="31">
        <f>Datos!M130</f>
        <v>30.350345223283814</v>
      </c>
      <c r="U127" s="18">
        <v>5</v>
      </c>
      <c r="V127" s="14">
        <f t="shared" si="14"/>
        <v>31.117491715439304</v>
      </c>
    </row>
    <row r="128" spans="2:22" x14ac:dyDescent="0.2">
      <c r="B128" s="13">
        <v>3150</v>
      </c>
      <c r="C128" s="37">
        <f>Datos!H157</f>
        <v>27.764226774819999</v>
      </c>
      <c r="E128" s="5">
        <f t="shared" si="13"/>
        <v>3.4983105537896004</v>
      </c>
      <c r="F128" s="13">
        <v>3150</v>
      </c>
      <c r="G128" s="31">
        <f>Datos!D131</f>
        <v>34.293880209993958</v>
      </c>
      <c r="H128" s="31">
        <f>Datos!E131</f>
        <v>33.302722677271419</v>
      </c>
      <c r="I128" s="31">
        <f>Datos!F131</f>
        <v>37.103116265151769</v>
      </c>
      <c r="J128" s="31">
        <f>Datos!G131</f>
        <v>34.344327733956412</v>
      </c>
      <c r="K128" s="31">
        <f>Datos!H131</f>
        <v>33.291150033759997</v>
      </c>
      <c r="L128" s="18">
        <v>5</v>
      </c>
      <c r="M128" s="14">
        <f t="shared" si="12"/>
        <v>34.716466350192896</v>
      </c>
      <c r="O128" s="13">
        <v>3150</v>
      </c>
      <c r="P128" s="31">
        <f>Datos!I131</f>
        <v>31.66411879356</v>
      </c>
      <c r="Q128" s="31">
        <f>Datos!J131</f>
        <v>32.336641187935577</v>
      </c>
      <c r="R128" s="31">
        <f>Datos!K131</f>
        <v>33.919443529451478</v>
      </c>
      <c r="S128" s="31">
        <f>Datos!L131</f>
        <v>31.777349029466944</v>
      </c>
      <c r="T128" s="31">
        <f>Datos!M131</f>
        <v>31.372012934831545</v>
      </c>
      <c r="U128" s="18">
        <v>5</v>
      </c>
      <c r="V128" s="14">
        <f t="shared" si="14"/>
        <v>32.315969572335405</v>
      </c>
    </row>
    <row r="129" spans="2:22" x14ac:dyDescent="0.2">
      <c r="B129" s="13">
        <v>4000</v>
      </c>
      <c r="C129" s="37">
        <f>Datos!H158</f>
        <v>28.148194425386894</v>
      </c>
      <c r="E129" s="5">
        <f t="shared" si="13"/>
        <v>3.6020599913279625</v>
      </c>
      <c r="F129" s="13">
        <v>4000</v>
      </c>
      <c r="G129" s="31">
        <f>Datos!D132</f>
        <v>30.857711596275443</v>
      </c>
      <c r="H129" s="31">
        <f>Datos!E132</f>
        <v>29.862953042307645</v>
      </c>
      <c r="I129" s="31">
        <f>Datos!F132</f>
        <v>33.315223609321606</v>
      </c>
      <c r="J129" s="31">
        <f>Datos!G132</f>
        <v>30.979768031830034</v>
      </c>
      <c r="K129" s="31">
        <f>Datos!H132</f>
        <v>30.496679015821002</v>
      </c>
      <c r="L129" s="18">
        <v>5</v>
      </c>
      <c r="M129" s="14">
        <f t="shared" si="12"/>
        <v>31.275575599272507</v>
      </c>
      <c r="O129" s="13">
        <v>4000</v>
      </c>
      <c r="P129" s="31">
        <f>Datos!I132</f>
        <v>30.010079944200001</v>
      </c>
      <c r="Q129" s="31">
        <f>Datos!J132</f>
        <v>29.327010079944237</v>
      </c>
      <c r="R129" s="31">
        <f>Datos!K132</f>
        <v>30.376373178068523</v>
      </c>
      <c r="S129" s="31">
        <f>Datos!L132</f>
        <v>29.122741973284377</v>
      </c>
      <c r="T129" s="31">
        <f>Datos!M132</f>
        <v>29.101989787763731</v>
      </c>
      <c r="U129" s="18">
        <v>5</v>
      </c>
      <c r="V129" s="14">
        <f t="shared" si="14"/>
        <v>29.618577376529323</v>
      </c>
    </row>
    <row r="130" spans="2:22" x14ac:dyDescent="0.2">
      <c r="B130" s="15">
        <v>5000</v>
      </c>
      <c r="C130" s="37">
        <f>Datos!H159</f>
        <v>29.0160207939626</v>
      </c>
      <c r="E130" s="5">
        <f t="shared" si="13"/>
        <v>3.6989700043360187</v>
      </c>
      <c r="F130" s="15">
        <v>5000</v>
      </c>
      <c r="G130" s="32">
        <f>Datos!D133</f>
        <v>29.665527843717317</v>
      </c>
      <c r="H130" s="32">
        <f>Datos!E133</f>
        <v>29.359994734432682</v>
      </c>
      <c r="I130" s="32">
        <f>Datos!F133</f>
        <v>30.563504450583043</v>
      </c>
      <c r="J130" s="32">
        <f>Datos!G133</f>
        <v>29.670801123830319</v>
      </c>
      <c r="K130" s="32">
        <f>Datos!H133</f>
        <v>30.297795199999999</v>
      </c>
      <c r="L130" s="16">
        <v>5</v>
      </c>
      <c r="M130" s="17">
        <f t="shared" si="12"/>
        <v>29.934693256289442</v>
      </c>
      <c r="O130" s="15">
        <v>5000</v>
      </c>
      <c r="P130" s="32">
        <f>Datos!I133</f>
        <v>29.449954081830001</v>
      </c>
      <c r="Q130" s="32">
        <f>Datos!J133</f>
        <v>29.23449954081828</v>
      </c>
      <c r="R130" s="32">
        <f>Datos!K133</f>
        <v>29.510421479670573</v>
      </c>
      <c r="S130" s="32">
        <f>Datos!L133</f>
        <v>29.300081356752266</v>
      </c>
      <c r="T130" s="32">
        <f>Datos!M133</f>
        <v>29.243134520378227</v>
      </c>
      <c r="U130" s="16">
        <v>5</v>
      </c>
      <c r="V130" s="17">
        <f t="shared" si="14"/>
        <v>29.349072297611901</v>
      </c>
    </row>
    <row r="133" spans="2:22" x14ac:dyDescent="0.2">
      <c r="B133" s="155" t="s">
        <v>46</v>
      </c>
      <c r="C133" s="156"/>
      <c r="E133" t="s">
        <v>114</v>
      </c>
      <c r="F133" s="165" t="s">
        <v>113</v>
      </c>
      <c r="G133" s="166"/>
      <c r="H133" s="166"/>
      <c r="I133" s="166"/>
      <c r="J133" s="166"/>
      <c r="K133" s="166"/>
      <c r="L133" s="166"/>
      <c r="M133" s="167"/>
      <c r="O133" s="165" t="s">
        <v>113</v>
      </c>
      <c r="P133" s="166"/>
      <c r="Q133" s="166"/>
      <c r="R133" s="166"/>
      <c r="S133" s="166"/>
      <c r="T133" s="166"/>
      <c r="U133" s="166"/>
      <c r="V133" s="167"/>
    </row>
    <row r="134" spans="2:22" x14ac:dyDescent="0.2">
      <c r="B134" s="157" t="s">
        <v>62</v>
      </c>
      <c r="C134" s="158"/>
      <c r="F134" s="162" t="s">
        <v>25</v>
      </c>
      <c r="G134" s="163"/>
      <c r="H134" s="163"/>
      <c r="I134" s="163"/>
      <c r="J134" s="163"/>
      <c r="K134" s="163"/>
      <c r="L134" s="163"/>
      <c r="M134" s="164"/>
      <c r="O134" s="162" t="s">
        <v>28</v>
      </c>
      <c r="P134" s="163"/>
      <c r="Q134" s="163"/>
      <c r="R134" s="163"/>
      <c r="S134" s="163"/>
      <c r="T134" s="163"/>
      <c r="U134" s="163"/>
      <c r="V134" s="164"/>
    </row>
    <row r="135" spans="2:22" ht="34" x14ac:dyDescent="0.2">
      <c r="B135" s="9" t="s">
        <v>20</v>
      </c>
      <c r="C135" s="36" t="s">
        <v>63</v>
      </c>
      <c r="F135" s="9" t="s">
        <v>20</v>
      </c>
      <c r="G135" s="25" t="s">
        <v>64</v>
      </c>
      <c r="H135" s="25" t="s">
        <v>65</v>
      </c>
      <c r="I135" s="25" t="s">
        <v>66</v>
      </c>
      <c r="J135" s="25" t="s">
        <v>67</v>
      </c>
      <c r="K135" s="25" t="s">
        <v>68</v>
      </c>
      <c r="L135" s="11" t="s">
        <v>26</v>
      </c>
      <c r="M135" s="12" t="s">
        <v>27</v>
      </c>
      <c r="O135" s="9" t="s">
        <v>20</v>
      </c>
      <c r="P135" s="25" t="s">
        <v>69</v>
      </c>
      <c r="Q135" s="25" t="s">
        <v>70</v>
      </c>
      <c r="R135" s="25" t="s">
        <v>71</v>
      </c>
      <c r="S135" s="25" t="s">
        <v>72</v>
      </c>
      <c r="T135" s="25" t="s">
        <v>73</v>
      </c>
      <c r="U135" s="11" t="s">
        <v>26</v>
      </c>
      <c r="V135" s="12" t="s">
        <v>49</v>
      </c>
    </row>
    <row r="136" spans="2:22" x14ac:dyDescent="0.2">
      <c r="B136" s="13">
        <v>50</v>
      </c>
      <c r="C136" s="37">
        <f>Datos!A6</f>
        <v>26.46942315021014</v>
      </c>
      <c r="E136" s="5">
        <f>LOG10(F136)</f>
        <v>1.6989700043360187</v>
      </c>
      <c r="F136" s="13">
        <v>50</v>
      </c>
      <c r="G136" s="31">
        <f>Datos!Q6</f>
        <v>87.181794776770346</v>
      </c>
      <c r="H136" s="31">
        <f>Datos!R6</f>
        <v>83.123510114723274</v>
      </c>
      <c r="I136" s="31">
        <f>Datos!S6</f>
        <v>75.823652182322732</v>
      </c>
      <c r="J136" s="31">
        <f>Datos!T6</f>
        <v>75.199756914642251</v>
      </c>
      <c r="K136" s="31">
        <f>Datos!U6</f>
        <v>72.485892377786755</v>
      </c>
      <c r="L136" s="18">
        <v>5</v>
      </c>
      <c r="M136" s="14">
        <f>10*LOG10((10^($G136/10)+10^($H136/10)+10^($I136/10)+10^($J136/10)+10^($K136/10))/$L136)</f>
        <v>82.132292621429713</v>
      </c>
      <c r="O136" s="13">
        <v>50</v>
      </c>
      <c r="P136" s="31">
        <f>Datos!V6</f>
        <v>80.057120008933168</v>
      </c>
      <c r="Q136" s="31">
        <f>Datos!W6</f>
        <v>77.602896688612347</v>
      </c>
      <c r="R136" s="31">
        <f>Datos!X6</f>
        <v>82.97510590091828</v>
      </c>
      <c r="S136" s="31">
        <f>Datos!Y6</f>
        <v>86.334530548615888</v>
      </c>
      <c r="T136" s="31">
        <f>Datos!Z6</f>
        <v>70.388628232399853</v>
      </c>
      <c r="U136" s="18">
        <v>5</v>
      </c>
      <c r="V136" s="14">
        <f t="shared" ref="V136:V156" si="15">10*LOG10((10^(P136/10)+10^(Q136/10)+10^(R136/10)+10^(S136/10)+10^(T136/10))/U136)</f>
        <v>82.031487789706134</v>
      </c>
    </row>
    <row r="137" spans="2:22" x14ac:dyDescent="0.2">
      <c r="B137" s="13">
        <v>63</v>
      </c>
      <c r="C137" s="37">
        <f>Datos!A7</f>
        <v>19.024018184726351</v>
      </c>
      <c r="E137" s="5">
        <f t="shared" ref="E137:E156" si="16">LOG10(F137)</f>
        <v>1.7993405494535817</v>
      </c>
      <c r="F137" s="13">
        <v>63</v>
      </c>
      <c r="G137" s="31">
        <f>Datos!Q7</f>
        <v>92.844971828533772</v>
      </c>
      <c r="H137" s="31">
        <f>Datos!R7</f>
        <v>86.114745145423385</v>
      </c>
      <c r="I137" s="31">
        <f>Datos!S7</f>
        <v>80.13753092911621</v>
      </c>
      <c r="J137" s="31">
        <f>Datos!T7</f>
        <v>83.46411587544624</v>
      </c>
      <c r="K137" s="31">
        <f>Datos!U7</f>
        <v>88.630660412782092</v>
      </c>
      <c r="L137" s="18">
        <v>5</v>
      </c>
      <c r="M137" s="14">
        <f t="shared" ref="M137:M156" si="17">10*LOG10((10^(G137/10)+10^(H137/10)+10^(I137/10)+10^(J137/10)+10^(K137/10))/L137)</f>
        <v>88.310856956242446</v>
      </c>
      <c r="O137" s="13">
        <v>63</v>
      </c>
      <c r="P137" s="31">
        <f>Datos!V7</f>
        <v>79.093252646547327</v>
      </c>
      <c r="Q137" s="31">
        <f>Datos!W7</f>
        <v>82.151660413373236</v>
      </c>
      <c r="R137" s="31">
        <f>Datos!X7</f>
        <v>84.974258987455713</v>
      </c>
      <c r="S137" s="31">
        <f>Datos!Y7</f>
        <v>89.834457751476407</v>
      </c>
      <c r="T137" s="31">
        <f>Datos!Z7</f>
        <v>75.092467182155801</v>
      </c>
      <c r="U137" s="18">
        <v>5</v>
      </c>
      <c r="V137" s="14">
        <f t="shared" si="15"/>
        <v>84.926320880289765</v>
      </c>
    </row>
    <row r="138" spans="2:22" x14ac:dyDescent="0.2">
      <c r="B138" s="13">
        <v>80</v>
      </c>
      <c r="C138" s="37">
        <f>Datos!A8</f>
        <v>25.637379282937712</v>
      </c>
      <c r="E138" s="5">
        <f t="shared" si="16"/>
        <v>1.9030899869919435</v>
      </c>
      <c r="F138" s="13">
        <v>80</v>
      </c>
      <c r="G138" s="31">
        <f>Datos!Q8</f>
        <v>89.722451359832874</v>
      </c>
      <c r="H138" s="31">
        <f>Datos!R8</f>
        <v>90.158799101927571</v>
      </c>
      <c r="I138" s="31">
        <f>Datos!S8</f>
        <v>87.605818955873374</v>
      </c>
      <c r="J138" s="31">
        <f>Datos!T8</f>
        <v>90.641555959364098</v>
      </c>
      <c r="K138" s="31">
        <f>Datos!U8</f>
        <v>94.160373720163662</v>
      </c>
      <c r="L138" s="18">
        <v>5</v>
      </c>
      <c r="M138" s="14">
        <f t="shared" si="17"/>
        <v>91.015487650389446</v>
      </c>
      <c r="O138" s="13">
        <v>80</v>
      </c>
      <c r="P138" s="31">
        <f>Datos!V8</f>
        <v>82.820581539995686</v>
      </c>
      <c r="Q138" s="31">
        <f>Datos!W8</f>
        <v>94.344562130079737</v>
      </c>
      <c r="R138" s="31">
        <f>Datos!X8</f>
        <v>92.791803501136386</v>
      </c>
      <c r="S138" s="31">
        <f>Datos!Y8</f>
        <v>95.41781262195471</v>
      </c>
      <c r="T138" s="31">
        <f>Datos!Z8</f>
        <v>83.465417867372523</v>
      </c>
      <c r="U138" s="18">
        <v>5</v>
      </c>
      <c r="V138" s="14">
        <f t="shared" si="15"/>
        <v>92.31282432570346</v>
      </c>
    </row>
    <row r="139" spans="2:22" x14ac:dyDescent="0.2">
      <c r="B139" s="13">
        <v>100</v>
      </c>
      <c r="C139" s="37">
        <f>Datos!A9</f>
        <v>21.279253120075122</v>
      </c>
      <c r="E139" s="5">
        <f t="shared" si="16"/>
        <v>2</v>
      </c>
      <c r="F139" s="13">
        <v>100</v>
      </c>
      <c r="G139" s="31">
        <f>Datos!Q9</f>
        <v>80.836505414882382</v>
      </c>
      <c r="H139" s="31">
        <f>Datos!R9</f>
        <v>86.53137559979875</v>
      </c>
      <c r="I139" s="31">
        <f>Datos!S9</f>
        <v>87.170813202744768</v>
      </c>
      <c r="J139" s="31">
        <f>Datos!T9</f>
        <v>89.299503654833657</v>
      </c>
      <c r="K139" s="31">
        <f>Datos!U9</f>
        <v>84.064621166196829</v>
      </c>
      <c r="L139" s="18">
        <v>5</v>
      </c>
      <c r="M139" s="14">
        <f t="shared" si="17"/>
        <v>86.431467622932004</v>
      </c>
      <c r="O139" s="13">
        <v>100</v>
      </c>
      <c r="P139" s="31">
        <f>Datos!V9</f>
        <v>82.54241943359375</v>
      </c>
      <c r="Q139" s="31">
        <f>Datos!W9</f>
        <v>88.224942307445886</v>
      </c>
      <c r="R139" s="31">
        <f>Datos!X9</f>
        <v>92.294432428349126</v>
      </c>
      <c r="S139" s="31">
        <f>Datos!Y9</f>
        <v>89.766342365380495</v>
      </c>
      <c r="T139" s="31">
        <f>Datos!Z9</f>
        <v>88.750856571614122</v>
      </c>
      <c r="U139" s="18">
        <v>5</v>
      </c>
      <c r="V139" s="14">
        <f t="shared" si="15"/>
        <v>89.281706899882906</v>
      </c>
    </row>
    <row r="140" spans="2:22" x14ac:dyDescent="0.2">
      <c r="B140" s="13">
        <v>125</v>
      </c>
      <c r="C140" s="37">
        <f>Datos!A10</f>
        <v>19.664507151580136</v>
      </c>
      <c r="E140" s="5">
        <f t="shared" si="16"/>
        <v>2.0969100130080562</v>
      </c>
      <c r="F140" s="13">
        <v>125</v>
      </c>
      <c r="G140" s="31">
        <f>Datos!Q10</f>
        <v>92.125066128727127</v>
      </c>
      <c r="H140" s="31">
        <f>Datos!R10</f>
        <v>90.683369816575095</v>
      </c>
      <c r="I140" s="31">
        <f>Datos!S10</f>
        <v>90.092565436874921</v>
      </c>
      <c r="J140" s="31">
        <f>Datos!T10</f>
        <v>90.607802153761469</v>
      </c>
      <c r="K140" s="31">
        <f>Datos!U10</f>
        <v>89.250103634410138</v>
      </c>
      <c r="L140" s="18">
        <v>5</v>
      </c>
      <c r="M140" s="14">
        <f t="shared" si="17"/>
        <v>90.655633621340854</v>
      </c>
      <c r="O140" s="13">
        <v>125</v>
      </c>
      <c r="P140" s="31">
        <f>Datos!V10</f>
        <v>90.318446125660842</v>
      </c>
      <c r="Q140" s="31">
        <f>Datos!W10</f>
        <v>89.046106826754126</v>
      </c>
      <c r="R140" s="31">
        <f>Datos!X10</f>
        <v>93.052286933450134</v>
      </c>
      <c r="S140" s="31">
        <f>Datos!Y10</f>
        <v>90.957123619137391</v>
      </c>
      <c r="T140" s="31">
        <f>Datos!Z10</f>
        <v>88.838520068162296</v>
      </c>
      <c r="U140" s="18">
        <v>5</v>
      </c>
      <c r="V140" s="14">
        <f t="shared" si="15"/>
        <v>90.726328452967522</v>
      </c>
    </row>
    <row r="141" spans="2:22" x14ac:dyDescent="0.2">
      <c r="B141" s="13">
        <v>160</v>
      </c>
      <c r="C141" s="37">
        <f>Datos!A11</f>
        <v>22.19456680109349</v>
      </c>
      <c r="E141" s="5">
        <f t="shared" si="16"/>
        <v>2.2041199826559246</v>
      </c>
      <c r="F141" s="13">
        <v>160</v>
      </c>
      <c r="G141" s="31">
        <f>Datos!Q11</f>
        <v>97.975730742531255</v>
      </c>
      <c r="H141" s="31">
        <f>Datos!R11</f>
        <v>98.276448572461845</v>
      </c>
      <c r="I141" s="31">
        <f>Datos!S11</f>
        <v>92.666166169690953</v>
      </c>
      <c r="J141" s="31">
        <f>Datos!T11</f>
        <v>91.621883663007864</v>
      </c>
      <c r="K141" s="31">
        <f>Datos!U11</f>
        <v>94.391020402917334</v>
      </c>
      <c r="L141" s="18">
        <v>5</v>
      </c>
      <c r="M141" s="14">
        <f t="shared" si="17"/>
        <v>95.808701774882394</v>
      </c>
      <c r="O141" s="13">
        <v>160</v>
      </c>
      <c r="P141" s="31">
        <f>Datos!V11</f>
        <v>102.16405054946797</v>
      </c>
      <c r="Q141" s="31">
        <f>Datos!W11</f>
        <v>96.205488665108305</v>
      </c>
      <c r="R141" s="31">
        <f>Datos!X11</f>
        <v>101.34612368270614</v>
      </c>
      <c r="S141" s="31">
        <f>Datos!Y11</f>
        <v>92.074796337069884</v>
      </c>
      <c r="T141" s="31">
        <f>Datos!Z11</f>
        <v>100.67327406286401</v>
      </c>
      <c r="U141" s="18">
        <v>5</v>
      </c>
      <c r="V141" s="14">
        <f t="shared" si="15"/>
        <v>99.78235359811535</v>
      </c>
    </row>
    <row r="142" spans="2:22" x14ac:dyDescent="0.2">
      <c r="B142" s="13">
        <v>200</v>
      </c>
      <c r="C142" s="37">
        <f>Datos!A12</f>
        <v>20.456081392861158</v>
      </c>
      <c r="E142" s="5">
        <f t="shared" si="16"/>
        <v>2.3010299956639813</v>
      </c>
      <c r="F142" s="13">
        <v>200</v>
      </c>
      <c r="G142" s="31">
        <f>Datos!Q12</f>
        <v>99.83855492310505</v>
      </c>
      <c r="H142" s="31">
        <f>Datos!R12</f>
        <v>103.18007895211193</v>
      </c>
      <c r="I142" s="31">
        <f>Datos!S12</f>
        <v>96.516998617058121</v>
      </c>
      <c r="J142" s="31">
        <f>Datos!T12</f>
        <v>96.175737653459819</v>
      </c>
      <c r="K142" s="31">
        <f>Datos!U12</f>
        <v>102.22891736053093</v>
      </c>
      <c r="L142" s="18">
        <v>5</v>
      </c>
      <c r="M142" s="14">
        <f t="shared" si="17"/>
        <v>100.47422799316259</v>
      </c>
      <c r="O142" s="13">
        <v>200</v>
      </c>
      <c r="P142" s="31">
        <f>Datos!V12</f>
        <v>100.08203963723315</v>
      </c>
      <c r="Q142" s="31">
        <f>Datos!W12</f>
        <v>101.38444249274322</v>
      </c>
      <c r="R142" s="31">
        <f>Datos!X12</f>
        <v>98.564226320617792</v>
      </c>
      <c r="S142" s="31">
        <f>Datos!Y12</f>
        <v>95.428023309418649</v>
      </c>
      <c r="T142" s="31">
        <f>Datos!Z12</f>
        <v>99.052820957397572</v>
      </c>
      <c r="U142" s="18">
        <v>5</v>
      </c>
      <c r="V142" s="14">
        <f t="shared" si="15"/>
        <v>99.310550125029948</v>
      </c>
    </row>
    <row r="143" spans="2:22" x14ac:dyDescent="0.2">
      <c r="B143" s="13">
        <v>250</v>
      </c>
      <c r="C143" s="37">
        <f>Datos!A13</f>
        <v>20.662895160471663</v>
      </c>
      <c r="E143" s="5">
        <f t="shared" si="16"/>
        <v>2.3979400086720375</v>
      </c>
      <c r="F143" s="13">
        <v>250</v>
      </c>
      <c r="G143" s="31">
        <f>Datos!Q13</f>
        <v>100.68045104600461</v>
      </c>
      <c r="H143" s="31">
        <f>Datos!R13</f>
        <v>105.47880425141237</v>
      </c>
      <c r="I143" s="31">
        <f>Datos!S13</f>
        <v>102.62180219688307</v>
      </c>
      <c r="J143" s="31">
        <f>Datos!T13</f>
        <v>104.05067718130525</v>
      </c>
      <c r="K143" s="31">
        <f>Datos!U13</f>
        <v>104.69362169937551</v>
      </c>
      <c r="L143" s="18">
        <v>5</v>
      </c>
      <c r="M143" s="14">
        <f t="shared" si="17"/>
        <v>103.80847244544026</v>
      </c>
      <c r="O143" s="13">
        <v>250</v>
      </c>
      <c r="P143" s="31">
        <f>Datos!V13</f>
        <v>103.05628069537872</v>
      </c>
      <c r="Q143" s="31">
        <f>Datos!W13</f>
        <v>98.084716206756084</v>
      </c>
      <c r="R143" s="31">
        <f>Datos!X13</f>
        <v>99.689839878842321</v>
      </c>
      <c r="S143" s="31">
        <f>Datos!Y13</f>
        <v>92.934385184085727</v>
      </c>
      <c r="T143" s="31">
        <f>Datos!Z13</f>
        <v>101.89530814407219</v>
      </c>
      <c r="U143" s="18">
        <v>5</v>
      </c>
      <c r="V143" s="14">
        <f t="shared" si="15"/>
        <v>100.28524536613884</v>
      </c>
    </row>
    <row r="144" spans="2:22" x14ac:dyDescent="0.2">
      <c r="B144" s="13">
        <v>315</v>
      </c>
      <c r="C144" s="37">
        <f>Datos!A14</f>
        <v>21.240521553743957</v>
      </c>
      <c r="E144" s="5">
        <f t="shared" si="16"/>
        <v>2.4983105537896004</v>
      </c>
      <c r="F144" s="13">
        <v>315</v>
      </c>
      <c r="G144" s="31">
        <f>Datos!Q14</f>
        <v>102.39969116152474</v>
      </c>
      <c r="H144" s="31">
        <f>Datos!R14</f>
        <v>102.61549303999571</v>
      </c>
      <c r="I144" s="31">
        <f>Datos!S14</f>
        <v>104.31009310353743</v>
      </c>
      <c r="J144" s="31">
        <f>Datos!T14</f>
        <v>101.40336061764576</v>
      </c>
      <c r="K144" s="31">
        <f>Datos!U14</f>
        <v>101.85779145756794</v>
      </c>
      <c r="L144" s="18">
        <v>5</v>
      </c>
      <c r="M144" s="14">
        <f t="shared" si="17"/>
        <v>102.6372922190758</v>
      </c>
      <c r="O144" s="13">
        <v>315</v>
      </c>
      <c r="P144" s="31">
        <f>Datos!V14</f>
        <v>103.57878066156746</v>
      </c>
      <c r="Q144" s="31">
        <f>Datos!W14</f>
        <v>100.42696854115411</v>
      </c>
      <c r="R144" s="31">
        <f>Datos!X14</f>
        <v>104.38282757782619</v>
      </c>
      <c r="S144" s="31">
        <f>Datos!Y14</f>
        <v>98.715053002039596</v>
      </c>
      <c r="T144" s="31">
        <f>Datos!Z14</f>
        <v>100.5370927033601</v>
      </c>
      <c r="U144" s="18">
        <v>5</v>
      </c>
      <c r="V144" s="14">
        <f t="shared" si="15"/>
        <v>102.04222928805258</v>
      </c>
    </row>
    <row r="145" spans="2:22" x14ac:dyDescent="0.2">
      <c r="B145" s="13">
        <v>400</v>
      </c>
      <c r="C145" s="37">
        <f>Datos!A15</f>
        <v>21.45340151594581</v>
      </c>
      <c r="E145" s="5">
        <f t="shared" si="16"/>
        <v>2.6020599913279625</v>
      </c>
      <c r="F145" s="13">
        <v>400</v>
      </c>
      <c r="G145" s="31">
        <f>Datos!Q15</f>
        <v>102.43656876078055</v>
      </c>
      <c r="H145" s="31">
        <f>Datos!R15</f>
        <v>102.3290948743018</v>
      </c>
      <c r="I145" s="31">
        <f>Datos!S15</f>
        <v>102.96813498965243</v>
      </c>
      <c r="J145" s="31">
        <f>Datos!T15</f>
        <v>103.32413372231071</v>
      </c>
      <c r="K145" s="31">
        <f>Datos!U15</f>
        <v>103.53200255800127</v>
      </c>
      <c r="L145" s="18">
        <v>5</v>
      </c>
      <c r="M145" s="14">
        <f t="shared" si="17"/>
        <v>102.94377387021768</v>
      </c>
      <c r="O145" s="13">
        <v>400</v>
      </c>
      <c r="P145" s="31">
        <f>Datos!V15</f>
        <v>102.29772960877806</v>
      </c>
      <c r="Q145" s="31">
        <f>Datos!W15</f>
        <v>100.16849623903165</v>
      </c>
      <c r="R145" s="31">
        <f>Datos!X15</f>
        <v>101.23107393326298</v>
      </c>
      <c r="S145" s="31">
        <f>Datos!Y15</f>
        <v>102.39585005153309</v>
      </c>
      <c r="T145" s="31">
        <f>Datos!Z15</f>
        <v>103.49666707037974</v>
      </c>
      <c r="U145" s="18">
        <v>5</v>
      </c>
      <c r="V145" s="14">
        <f t="shared" si="15"/>
        <v>102.06166313032973</v>
      </c>
    </row>
    <row r="146" spans="2:22" x14ac:dyDescent="0.2">
      <c r="B146" s="13">
        <v>500</v>
      </c>
      <c r="C146" s="37">
        <f>Datos!A16</f>
        <v>21.834310797008023</v>
      </c>
      <c r="E146" s="5">
        <f t="shared" si="16"/>
        <v>2.6989700043360187</v>
      </c>
      <c r="F146" s="13">
        <v>500</v>
      </c>
      <c r="G146" s="31">
        <f>Datos!Q16</f>
        <v>102.41400574724337</v>
      </c>
      <c r="H146" s="31">
        <f>Datos!R16</f>
        <v>102.57454388342171</v>
      </c>
      <c r="I146" s="31">
        <f>Datos!S16</f>
        <v>98.399757138910687</v>
      </c>
      <c r="J146" s="31">
        <f>Datos!T16</f>
        <v>98.826064197320136</v>
      </c>
      <c r="K146" s="31">
        <f>Datos!U16</f>
        <v>101.17206345108796</v>
      </c>
      <c r="L146" s="18">
        <v>5</v>
      </c>
      <c r="M146" s="14">
        <f t="shared" si="17"/>
        <v>101.01556020621683</v>
      </c>
      <c r="O146" s="13">
        <v>500</v>
      </c>
      <c r="P146" s="31">
        <f>Datos!V16</f>
        <v>101.32755777236953</v>
      </c>
      <c r="Q146" s="31">
        <f>Datos!W16</f>
        <v>101.93577269383776</v>
      </c>
      <c r="R146" s="31">
        <f>Datos!X16</f>
        <v>101.45037630432245</v>
      </c>
      <c r="S146" s="31">
        <f>Datos!Y16</f>
        <v>101.06620248158772</v>
      </c>
      <c r="T146" s="31">
        <f>Datos!Z16</f>
        <v>100.15221033340845</v>
      </c>
      <c r="U146" s="18">
        <v>5</v>
      </c>
      <c r="V146" s="14">
        <f t="shared" si="15"/>
        <v>101.22517207481599</v>
      </c>
    </row>
    <row r="147" spans="2:22" x14ac:dyDescent="0.2">
      <c r="B147" s="13">
        <v>630</v>
      </c>
      <c r="C147" s="37">
        <f>Datos!A17</f>
        <v>22.146913411868407</v>
      </c>
      <c r="E147" s="5">
        <f t="shared" si="16"/>
        <v>2.7993405494535817</v>
      </c>
      <c r="F147" s="13">
        <v>630</v>
      </c>
      <c r="G147" s="31">
        <f>Datos!Q17</f>
        <v>102.41162284763379</v>
      </c>
      <c r="H147" s="31">
        <f>Datos!R17</f>
        <v>100.1758442317214</v>
      </c>
      <c r="I147" s="31">
        <f>Datos!S17</f>
        <v>98.154932657877609</v>
      </c>
      <c r="J147" s="31">
        <f>Datos!T17</f>
        <v>97.824363232110059</v>
      </c>
      <c r="K147" s="31">
        <f>Datos!U17</f>
        <v>101.2099479336689</v>
      </c>
      <c r="L147" s="18">
        <v>5</v>
      </c>
      <c r="M147" s="14">
        <f t="shared" si="17"/>
        <v>100.30590032935278</v>
      </c>
      <c r="O147" s="13">
        <v>630</v>
      </c>
      <c r="P147" s="31">
        <f>Datos!V17</f>
        <v>102.0639731143926</v>
      </c>
      <c r="Q147" s="31">
        <f>Datos!W17</f>
        <v>97.415841490743787</v>
      </c>
      <c r="R147" s="31">
        <f>Datos!X17</f>
        <v>101.68213686861621</v>
      </c>
      <c r="S147" s="31">
        <f>Datos!Y17</f>
        <v>101.74283155527982</v>
      </c>
      <c r="T147" s="31">
        <f>Datos!Z17</f>
        <v>101.02315561814412</v>
      </c>
      <c r="U147" s="18">
        <v>5</v>
      </c>
      <c r="V147" s="14">
        <f t="shared" si="15"/>
        <v>101.06695423228004</v>
      </c>
    </row>
    <row r="148" spans="2:22" x14ac:dyDescent="0.2">
      <c r="B148" s="13">
        <v>800</v>
      </c>
      <c r="C148" s="37">
        <f>Datos!A18</f>
        <v>22.666651875827029</v>
      </c>
      <c r="E148" s="5">
        <f t="shared" si="16"/>
        <v>2.9030899869919438</v>
      </c>
      <c r="F148" s="13">
        <v>800</v>
      </c>
      <c r="G148" s="31">
        <f>Datos!Q18</f>
        <v>101.14085828116113</v>
      </c>
      <c r="H148" s="31">
        <f>Datos!R18</f>
        <v>98.856015913063118</v>
      </c>
      <c r="I148" s="31">
        <f>Datos!S18</f>
        <v>98.245944835521556</v>
      </c>
      <c r="J148" s="31">
        <f>Datos!T18</f>
        <v>99.096685360824594</v>
      </c>
      <c r="K148" s="31">
        <f>Datos!U18</f>
        <v>101.64146270607867</v>
      </c>
      <c r="L148" s="18">
        <v>5</v>
      </c>
      <c r="M148" s="14">
        <f t="shared" si="17"/>
        <v>100.00701942291592</v>
      </c>
      <c r="O148" s="13">
        <v>800</v>
      </c>
      <c r="P148" s="31">
        <f>Datos!V18</f>
        <v>98.086578216115527</v>
      </c>
      <c r="Q148" s="31">
        <f>Datos!W18</f>
        <v>99.59022745374817</v>
      </c>
      <c r="R148" s="31">
        <f>Datos!X18</f>
        <v>99.965698647544329</v>
      </c>
      <c r="S148" s="31">
        <f>Datos!Y18</f>
        <v>97.925270029992774</v>
      </c>
      <c r="T148" s="31">
        <f>Datos!Z18</f>
        <v>100.74278038292982</v>
      </c>
      <c r="U148" s="18">
        <v>5</v>
      </c>
      <c r="V148" s="14">
        <f t="shared" si="15"/>
        <v>99.397664924240672</v>
      </c>
    </row>
    <row r="149" spans="2:22" x14ac:dyDescent="0.2">
      <c r="B149" s="13">
        <v>1000</v>
      </c>
      <c r="C149" s="37">
        <f>Datos!A19</f>
        <v>23.385404400769694</v>
      </c>
      <c r="E149" s="5">
        <f t="shared" si="16"/>
        <v>3</v>
      </c>
      <c r="F149" s="13">
        <v>1000</v>
      </c>
      <c r="G149" s="31">
        <f>Datos!Q19</f>
        <v>100.02055724279177</v>
      </c>
      <c r="H149" s="31">
        <f>Datos!R19</f>
        <v>99.625883726316076</v>
      </c>
      <c r="I149" s="31">
        <f>Datos!S19</f>
        <v>97.482781941847691</v>
      </c>
      <c r="J149" s="31">
        <f>Datos!T19</f>
        <v>99.898631634527263</v>
      </c>
      <c r="K149" s="31">
        <f>Datos!U19</f>
        <v>99.687617481148834</v>
      </c>
      <c r="L149" s="18">
        <v>5</v>
      </c>
      <c r="M149" s="14">
        <f t="shared" si="17"/>
        <v>99.43479692586493</v>
      </c>
      <c r="O149" s="13">
        <v>1000</v>
      </c>
      <c r="P149" s="31">
        <f>Datos!V19</f>
        <v>98.493062016615553</v>
      </c>
      <c r="Q149" s="31">
        <f>Datos!W19</f>
        <v>98.167160258986897</v>
      </c>
      <c r="R149" s="31">
        <f>Datos!X19</f>
        <v>98.675611282435497</v>
      </c>
      <c r="S149" s="31">
        <f>Datos!Y19</f>
        <v>98.734252279455006</v>
      </c>
      <c r="T149" s="31">
        <f>Datos!Z19</f>
        <v>98.962460741584678</v>
      </c>
      <c r="U149" s="18">
        <v>5</v>
      </c>
      <c r="V149" s="14">
        <f t="shared" si="15"/>
        <v>98.614582815526859</v>
      </c>
    </row>
    <row r="150" spans="2:22" x14ac:dyDescent="0.2">
      <c r="B150" s="13">
        <v>1250</v>
      </c>
      <c r="C150" s="37">
        <f>Datos!A20</f>
        <v>24.0174561464585</v>
      </c>
      <c r="E150" s="5">
        <f t="shared" si="16"/>
        <v>3.0969100130080562</v>
      </c>
      <c r="F150" s="13">
        <v>1250</v>
      </c>
      <c r="G150" s="31">
        <f>Datos!Q20</f>
        <v>97.650089256608169</v>
      </c>
      <c r="H150" s="31">
        <f>Datos!R20</f>
        <v>97.888356638400353</v>
      </c>
      <c r="I150" s="31">
        <f>Datos!S20</f>
        <v>95.853570240741675</v>
      </c>
      <c r="J150" s="31">
        <f>Datos!T20</f>
        <v>96.185030248780919</v>
      </c>
      <c r="K150" s="31">
        <f>Datos!U20</f>
        <v>96.777969763794516</v>
      </c>
      <c r="L150" s="18">
        <v>5</v>
      </c>
      <c r="M150" s="14">
        <f t="shared" si="17"/>
        <v>96.943613386223944</v>
      </c>
      <c r="O150" s="13">
        <v>1250</v>
      </c>
      <c r="P150" s="31">
        <f>Datos!V20</f>
        <v>97.674552064912021</v>
      </c>
      <c r="Q150" s="31">
        <f>Datos!W20</f>
        <v>95.087837296515758</v>
      </c>
      <c r="R150" s="31">
        <f>Datos!X20</f>
        <v>98.393778770200669</v>
      </c>
      <c r="S150" s="31">
        <f>Datos!Y20</f>
        <v>95.710289528875634</v>
      </c>
      <c r="T150" s="31">
        <f>Datos!Z20</f>
        <v>96.985578741669542</v>
      </c>
      <c r="U150" s="18">
        <v>5</v>
      </c>
      <c r="V150" s="14">
        <f t="shared" si="15"/>
        <v>96.938807618099233</v>
      </c>
    </row>
    <row r="151" spans="2:22" x14ac:dyDescent="0.2">
      <c r="B151" s="13">
        <v>1600</v>
      </c>
      <c r="C151" s="37">
        <f>Datos!A21</f>
        <v>25.004070056275367</v>
      </c>
      <c r="E151" s="5">
        <f t="shared" si="16"/>
        <v>3.2041199826559246</v>
      </c>
      <c r="F151" s="13">
        <v>1600</v>
      </c>
      <c r="G151" s="31">
        <f>Datos!Q21</f>
        <v>95.611304907963188</v>
      </c>
      <c r="H151" s="31">
        <f>Datos!R21</f>
        <v>97.603268347053884</v>
      </c>
      <c r="I151" s="31">
        <f>Datos!S21</f>
        <v>95.569945303689607</v>
      </c>
      <c r="J151" s="31">
        <f>Datos!T21</f>
        <v>94.178634910619593</v>
      </c>
      <c r="K151" s="31">
        <f>Datos!U21</f>
        <v>97.603458934059901</v>
      </c>
      <c r="L151" s="18">
        <v>5</v>
      </c>
      <c r="M151" s="14">
        <f t="shared" si="17"/>
        <v>96.310592484720047</v>
      </c>
      <c r="O151" s="13">
        <v>1600</v>
      </c>
      <c r="P151" s="31">
        <f>Datos!V21</f>
        <v>96.05450388444757</v>
      </c>
      <c r="Q151" s="31">
        <f>Datos!W21</f>
        <v>95.336600337019718</v>
      </c>
      <c r="R151" s="31">
        <f>Datos!X21</f>
        <v>95.879291201452148</v>
      </c>
      <c r="S151" s="31">
        <f>Datos!Y21</f>
        <v>95.929601864381269</v>
      </c>
      <c r="T151" s="31">
        <f>Datos!Z21</f>
        <v>95.550884395356647</v>
      </c>
      <c r="U151" s="18">
        <v>5</v>
      </c>
      <c r="V151" s="14">
        <f t="shared" si="15"/>
        <v>95.758208487809199</v>
      </c>
    </row>
    <row r="152" spans="2:22" x14ac:dyDescent="0.2">
      <c r="B152" s="13">
        <v>2000</v>
      </c>
      <c r="C152" s="37">
        <f>Datos!A22</f>
        <v>25.738647262513716</v>
      </c>
      <c r="E152" s="5">
        <f t="shared" si="16"/>
        <v>3.3010299956639813</v>
      </c>
      <c r="F152" s="13">
        <v>2000</v>
      </c>
      <c r="G152" s="31">
        <f>Datos!Q22</f>
        <v>95.957457838387327</v>
      </c>
      <c r="H152" s="31">
        <f>Datos!R22</f>
        <v>97.694933304831252</v>
      </c>
      <c r="I152" s="31">
        <f>Datos!S22</f>
        <v>95.646343720264923</v>
      </c>
      <c r="J152" s="31">
        <f>Datos!T22</f>
        <v>96.366256223045212</v>
      </c>
      <c r="K152" s="31">
        <f>Datos!U22</f>
        <v>95.678382470092203</v>
      </c>
      <c r="L152" s="18">
        <v>5</v>
      </c>
      <c r="M152" s="14">
        <f t="shared" si="17"/>
        <v>96.339095098131665</v>
      </c>
      <c r="O152" s="13">
        <v>2000</v>
      </c>
      <c r="P152" s="31">
        <f>Datos!V22</f>
        <v>96.133978063078757</v>
      </c>
      <c r="Q152" s="31">
        <f>Datos!W22</f>
        <v>95.061615784084822</v>
      </c>
      <c r="R152" s="31">
        <f>Datos!X22</f>
        <v>94.851422702564918</v>
      </c>
      <c r="S152" s="31">
        <f>Datos!Y22</f>
        <v>96.66308756308122</v>
      </c>
      <c r="T152" s="31">
        <f>Datos!Z22</f>
        <v>95.649005466037323</v>
      </c>
      <c r="U152" s="18">
        <v>5</v>
      </c>
      <c r="V152" s="14">
        <f t="shared" si="15"/>
        <v>95.723820328479519</v>
      </c>
    </row>
    <row r="153" spans="2:22" x14ac:dyDescent="0.2">
      <c r="B153" s="13">
        <v>2500</v>
      </c>
      <c r="C153" s="37">
        <f>Datos!A23</f>
        <v>26.319398473236124</v>
      </c>
      <c r="E153" s="5">
        <f t="shared" si="16"/>
        <v>3.3979400086720375</v>
      </c>
      <c r="F153" s="13">
        <v>2500</v>
      </c>
      <c r="G153" s="31">
        <f>Datos!Q23</f>
        <v>99.048854732878823</v>
      </c>
      <c r="H153" s="31">
        <f>Datos!R23</f>
        <v>98.007521442163764</v>
      </c>
      <c r="I153" s="31">
        <f>Datos!S23</f>
        <v>95.985205567913297</v>
      </c>
      <c r="J153" s="31">
        <f>Datos!T23</f>
        <v>96.452622398297066</v>
      </c>
      <c r="K153" s="31">
        <f>Datos!U23</f>
        <v>98.219781200203613</v>
      </c>
      <c r="L153" s="18">
        <v>5</v>
      </c>
      <c r="M153" s="14">
        <f t="shared" si="17"/>
        <v>97.690323218009212</v>
      </c>
      <c r="O153" s="13">
        <v>2500</v>
      </c>
      <c r="P153" s="31">
        <f>Datos!V23</f>
        <v>97.504595628098983</v>
      </c>
      <c r="Q153" s="31">
        <f>Datos!W23</f>
        <v>98.180902540793511</v>
      </c>
      <c r="R153" s="31">
        <f>Datos!X23</f>
        <v>97.456233334043674</v>
      </c>
      <c r="S153" s="31">
        <f>Datos!Y23</f>
        <v>97.115761366757482</v>
      </c>
      <c r="T153" s="31">
        <f>Datos!Z23</f>
        <v>97.15032935074592</v>
      </c>
      <c r="U153" s="18">
        <v>5</v>
      </c>
      <c r="V153" s="14">
        <f t="shared" si="15"/>
        <v>97.498907411787471</v>
      </c>
    </row>
    <row r="154" spans="2:22" x14ac:dyDescent="0.2">
      <c r="B154" s="13">
        <v>3150</v>
      </c>
      <c r="C154" s="37">
        <f>Datos!A24</f>
        <v>27.18455760593687</v>
      </c>
      <c r="E154" s="5">
        <f t="shared" si="16"/>
        <v>3.4983105537896004</v>
      </c>
      <c r="F154" s="13">
        <v>3150</v>
      </c>
      <c r="G154" s="31">
        <f>Datos!Q24</f>
        <v>96.860880380389332</v>
      </c>
      <c r="H154" s="31">
        <f>Datos!R24</f>
        <v>94.20323471354547</v>
      </c>
      <c r="I154" s="31">
        <f>Datos!S24</f>
        <v>93.809285257163779</v>
      </c>
      <c r="J154" s="31">
        <f>Datos!T24</f>
        <v>94.373046882217977</v>
      </c>
      <c r="K154" s="31">
        <f>Datos!U24</f>
        <v>94.765549267993094</v>
      </c>
      <c r="L154" s="18">
        <v>5</v>
      </c>
      <c r="M154" s="14">
        <f t="shared" si="17"/>
        <v>94.948039538528775</v>
      </c>
      <c r="O154" s="13">
        <v>3150</v>
      </c>
      <c r="P154" s="31">
        <f>Datos!V24</f>
        <v>95.425948120233784</v>
      </c>
      <c r="Q154" s="31">
        <f>Datos!W24</f>
        <v>95.122336645811302</v>
      </c>
      <c r="R154" s="31">
        <f>Datos!X24</f>
        <v>95.508918393042777</v>
      </c>
      <c r="S154" s="31">
        <f>Datos!Y24</f>
        <v>95.129673126972079</v>
      </c>
      <c r="T154" s="31">
        <f>Datos!Z24</f>
        <v>94.788030647937163</v>
      </c>
      <c r="U154" s="18">
        <v>5</v>
      </c>
      <c r="V154" s="14">
        <f t="shared" si="15"/>
        <v>95.202465835333484</v>
      </c>
    </row>
    <row r="155" spans="2:22" x14ac:dyDescent="0.2">
      <c r="B155" s="13">
        <v>4000</v>
      </c>
      <c r="C155" s="37">
        <f>Datos!A25</f>
        <v>28.086701907789134</v>
      </c>
      <c r="E155" s="5">
        <f t="shared" si="16"/>
        <v>3.6020599913279625</v>
      </c>
      <c r="F155" s="13">
        <v>4000</v>
      </c>
      <c r="G155" s="31">
        <f>Datos!Q25</f>
        <v>91.971994210020341</v>
      </c>
      <c r="H155" s="31">
        <f>Datos!R25</f>
        <v>92.351475524902341</v>
      </c>
      <c r="I155" s="31">
        <f>Datos!S25</f>
        <v>91.155452289925449</v>
      </c>
      <c r="J155" s="31">
        <f>Datos!T25</f>
        <v>90.821057019193105</v>
      </c>
      <c r="K155" s="31">
        <f>Datos!U25</f>
        <v>91.879182521974968</v>
      </c>
      <c r="L155" s="18">
        <v>5</v>
      </c>
      <c r="M155" s="14">
        <f t="shared" si="17"/>
        <v>91.671707665190198</v>
      </c>
      <c r="O155" s="13">
        <v>4000</v>
      </c>
      <c r="P155" s="31">
        <f>Datos!V25</f>
        <v>91.955886279728261</v>
      </c>
      <c r="Q155" s="31">
        <f>Datos!W25</f>
        <v>91.331000073399551</v>
      </c>
      <c r="R155" s="31">
        <f>Datos!X25</f>
        <v>91.640230884588192</v>
      </c>
      <c r="S155" s="31">
        <f>Datos!Y25</f>
        <v>90.837846770431057</v>
      </c>
      <c r="T155" s="31">
        <f>Datos!Z25</f>
        <v>91.12201882676635</v>
      </c>
      <c r="U155" s="18">
        <v>5</v>
      </c>
      <c r="V155" s="14">
        <f t="shared" si="15"/>
        <v>91.39499958759076</v>
      </c>
    </row>
    <row r="156" spans="2:22" x14ac:dyDescent="0.2">
      <c r="B156" s="15">
        <v>5000</v>
      </c>
      <c r="C156" s="37">
        <f>Datos!A26</f>
        <v>28.979656410465314</v>
      </c>
      <c r="E156" s="5">
        <f t="shared" si="16"/>
        <v>3.6989700043360187</v>
      </c>
      <c r="F156" s="15">
        <v>5000</v>
      </c>
      <c r="G156" s="32">
        <f>Datos!Q26</f>
        <v>91.159158618970849</v>
      </c>
      <c r="H156" s="32">
        <f>Datos!R26</f>
        <v>91.104362502053519</v>
      </c>
      <c r="I156" s="32">
        <f>Datos!S26</f>
        <v>89.752504542569042</v>
      </c>
      <c r="J156" s="32">
        <f>Datos!T26</f>
        <v>89.240836577474113</v>
      </c>
      <c r="K156" s="32">
        <f>Datos!U26</f>
        <v>90.59310109802189</v>
      </c>
      <c r="L156" s="16">
        <v>5</v>
      </c>
      <c r="M156" s="17">
        <f t="shared" si="17"/>
        <v>90.434424856601353</v>
      </c>
      <c r="O156" s="15">
        <v>5000</v>
      </c>
      <c r="P156" s="32">
        <f>Datos!V26</f>
        <v>90.395335010721666</v>
      </c>
      <c r="Q156" s="32">
        <f>Datos!W26</f>
        <v>89.829419903553216</v>
      </c>
      <c r="R156" s="32">
        <f>Datos!X26</f>
        <v>90.073205205928218</v>
      </c>
      <c r="S156" s="32">
        <f>Datos!Y26</f>
        <v>89.708046934821382</v>
      </c>
      <c r="T156" s="32">
        <f>Datos!Z26</f>
        <v>90.668482788607605</v>
      </c>
      <c r="U156" s="16">
        <v>5</v>
      </c>
      <c r="V156" s="17">
        <f t="shared" si="15"/>
        <v>90.149547037188398</v>
      </c>
    </row>
    <row r="159" spans="2:22" x14ac:dyDescent="0.2">
      <c r="E159" t="s">
        <v>114</v>
      </c>
      <c r="F159" s="165" t="s">
        <v>43</v>
      </c>
      <c r="G159" s="166"/>
      <c r="H159" s="166"/>
      <c r="I159" s="166"/>
      <c r="J159" s="166"/>
      <c r="K159" s="166"/>
      <c r="L159" s="166"/>
      <c r="M159" s="167"/>
      <c r="O159" s="165" t="s">
        <v>43</v>
      </c>
      <c r="P159" s="166"/>
      <c r="Q159" s="166"/>
      <c r="R159" s="166"/>
      <c r="S159" s="166"/>
      <c r="T159" s="166"/>
      <c r="U159" s="166"/>
      <c r="V159" s="167"/>
    </row>
    <row r="160" spans="2:22" x14ac:dyDescent="0.2">
      <c r="F160" s="162" t="s">
        <v>25</v>
      </c>
      <c r="G160" s="163"/>
      <c r="H160" s="163"/>
      <c r="I160" s="163"/>
      <c r="J160" s="163"/>
      <c r="K160" s="163"/>
      <c r="L160" s="163"/>
      <c r="M160" s="164"/>
      <c r="O160" s="162" t="s">
        <v>28</v>
      </c>
      <c r="P160" s="163"/>
      <c r="Q160" s="163"/>
      <c r="R160" s="163"/>
      <c r="S160" s="163"/>
      <c r="T160" s="163"/>
      <c r="U160" s="163"/>
      <c r="V160" s="164"/>
    </row>
    <row r="161" spans="6:22" ht="34" x14ac:dyDescent="0.2">
      <c r="F161" s="9" t="s">
        <v>20</v>
      </c>
      <c r="G161" s="25" t="s">
        <v>64</v>
      </c>
      <c r="H161" s="25" t="s">
        <v>65</v>
      </c>
      <c r="I161" s="25" t="s">
        <v>66</v>
      </c>
      <c r="J161" s="25"/>
      <c r="K161" s="25"/>
      <c r="L161" s="11" t="s">
        <v>26</v>
      </c>
      <c r="M161" s="12" t="s">
        <v>27</v>
      </c>
      <c r="O161" s="9" t="s">
        <v>20</v>
      </c>
      <c r="P161" s="25" t="s">
        <v>69</v>
      </c>
      <c r="Q161" s="25" t="s">
        <v>70</v>
      </c>
      <c r="R161" s="25" t="s">
        <v>71</v>
      </c>
      <c r="S161" s="25" t="s">
        <v>72</v>
      </c>
      <c r="T161" s="25" t="s">
        <v>73</v>
      </c>
      <c r="U161" s="11" t="s">
        <v>26</v>
      </c>
      <c r="V161" s="12" t="s">
        <v>49</v>
      </c>
    </row>
    <row r="162" spans="6:22" x14ac:dyDescent="0.2">
      <c r="F162" s="13">
        <v>50</v>
      </c>
      <c r="G162" s="31">
        <f>Datos!Q33</f>
        <v>79.092959419272063</v>
      </c>
      <c r="H162" s="31">
        <f>Datos!R33</f>
        <v>83.149811142413782</v>
      </c>
      <c r="I162" s="31">
        <f>Datos!S33</f>
        <v>81.633491182549051</v>
      </c>
      <c r="J162" s="31"/>
      <c r="K162" s="31"/>
      <c r="L162" s="18">
        <v>3</v>
      </c>
      <c r="M162" s="14">
        <f>10*LOG10((10^($G162/10)+10^($H162/10)+10^($I162/10)+10^($J162/10)+10^($K162/10))/$L162)</f>
        <v>81.597109097444601</v>
      </c>
      <c r="O162" s="13">
        <v>50</v>
      </c>
      <c r="P162" s="31">
        <f>Datos!T33</f>
        <v>79.900993727932573</v>
      </c>
      <c r="Q162" s="31">
        <f>Datos!U33</f>
        <v>81.965184522498774</v>
      </c>
      <c r="R162" s="31">
        <f>Datos!V33</f>
        <v>92.604641453701902</v>
      </c>
      <c r="S162" s="31"/>
      <c r="T162" s="31"/>
      <c r="U162" s="18">
        <v>3</v>
      </c>
      <c r="V162" s="14">
        <f t="shared" ref="V162:V182" si="18">10*LOG10((10^(P162/10)+10^(Q162/10)+10^(R162/10)+10^(S162/10)+10^(T162/10))/U162)</f>
        <v>88.402350710604836</v>
      </c>
    </row>
    <row r="163" spans="6:22" x14ac:dyDescent="0.2">
      <c r="F163" s="13">
        <v>63</v>
      </c>
      <c r="G163" s="31">
        <f>Datos!Q33</f>
        <v>79.092959419272063</v>
      </c>
      <c r="H163" s="31">
        <f>Datos!R33</f>
        <v>83.149811142413782</v>
      </c>
      <c r="I163" s="31">
        <f>Datos!S33</f>
        <v>81.633491182549051</v>
      </c>
      <c r="J163" s="31"/>
      <c r="K163" s="31"/>
      <c r="L163" s="18">
        <v>3</v>
      </c>
      <c r="M163" s="14">
        <f t="shared" ref="M163:M182" si="19">10*LOG10((10^(G163/10)+10^(H163/10)+10^(I163/10)+10^(J163/10)+10^(K163/10))/L163)</f>
        <v>81.597109097444601</v>
      </c>
      <c r="O163" s="13">
        <v>63</v>
      </c>
      <c r="P163" s="31">
        <f>Datos!T34</f>
        <v>90.751772776549046</v>
      </c>
      <c r="Q163" s="31">
        <f>Datos!U34</f>
        <v>91.98087587187382</v>
      </c>
      <c r="R163" s="31">
        <f>Datos!V34</f>
        <v>101.32113295711584</v>
      </c>
      <c r="S163" s="31"/>
      <c r="T163" s="31"/>
      <c r="U163" s="18">
        <v>3</v>
      </c>
      <c r="V163" s="14">
        <f t="shared" si="18"/>
        <v>97.356613476376396</v>
      </c>
    </row>
    <row r="164" spans="6:22" x14ac:dyDescent="0.2">
      <c r="F164" s="13">
        <v>80</v>
      </c>
      <c r="G164" s="31">
        <f>Datos!Q34</f>
        <v>90.959914449247748</v>
      </c>
      <c r="H164" s="31">
        <f>Datos!R34</f>
        <v>92.806925250746914</v>
      </c>
      <c r="I164" s="31">
        <f>Datos!S34</f>
        <v>95.483160812023073</v>
      </c>
      <c r="J164" s="31"/>
      <c r="K164" s="31"/>
      <c r="L164" s="18">
        <v>3</v>
      </c>
      <c r="M164" s="14">
        <f t="shared" si="19"/>
        <v>93.483219777003569</v>
      </c>
      <c r="O164" s="13">
        <v>80</v>
      </c>
      <c r="P164" s="31">
        <f>Datos!T35</f>
        <v>90.303572578923763</v>
      </c>
      <c r="Q164" s="31">
        <f>Datos!U35</f>
        <v>93.150044153607084</v>
      </c>
      <c r="R164" s="31">
        <f>Datos!V35</f>
        <v>96.303251586410568</v>
      </c>
      <c r="S164" s="31"/>
      <c r="T164" s="31"/>
      <c r="U164" s="18">
        <v>3</v>
      </c>
      <c r="V164" s="14">
        <f t="shared" si="18"/>
        <v>93.925089223427136</v>
      </c>
    </row>
    <row r="165" spans="6:22" x14ac:dyDescent="0.2">
      <c r="F165" s="13">
        <v>100</v>
      </c>
      <c r="G165" s="31">
        <f>Datos!Q35</f>
        <v>90.296081686783921</v>
      </c>
      <c r="H165" s="31">
        <f>Datos!R35</f>
        <v>96.839037561543336</v>
      </c>
      <c r="I165" s="31">
        <f>Datos!S35</f>
        <v>97.638842056629272</v>
      </c>
      <c r="J165" s="31"/>
      <c r="K165" s="31"/>
      <c r="L165" s="18">
        <v>3</v>
      </c>
      <c r="M165" s="14">
        <f t="shared" si="19"/>
        <v>95.912934435542013</v>
      </c>
      <c r="O165" s="13">
        <v>100</v>
      </c>
      <c r="P165" s="31">
        <f>Datos!T36</f>
        <v>95.904093292856828</v>
      </c>
      <c r="Q165" s="31">
        <f>Datos!U36</f>
        <v>97.030537552748967</v>
      </c>
      <c r="R165" s="31">
        <f>Datos!V36</f>
        <v>96.227653195724699</v>
      </c>
      <c r="S165" s="31"/>
      <c r="T165" s="31"/>
      <c r="U165" s="18">
        <v>3</v>
      </c>
      <c r="V165" s="14">
        <f t="shared" si="18"/>
        <v>96.413643612555049</v>
      </c>
    </row>
    <row r="166" spans="6:22" x14ac:dyDescent="0.2">
      <c r="F166" s="13">
        <v>125</v>
      </c>
      <c r="G166" s="31">
        <f>Datos!Q36</f>
        <v>95.626225851707929</v>
      </c>
      <c r="H166" s="31">
        <f>Datos!R36</f>
        <v>92.418117614421732</v>
      </c>
      <c r="I166" s="31">
        <f>Datos!S36</f>
        <v>95.220653792980102</v>
      </c>
      <c r="J166" s="31"/>
      <c r="K166" s="31"/>
      <c r="L166" s="18">
        <v>3</v>
      </c>
      <c r="M166" s="14">
        <f t="shared" si="19"/>
        <v>94.636409030396095</v>
      </c>
      <c r="O166" s="13">
        <v>125</v>
      </c>
      <c r="P166" s="31">
        <f>Datos!T37</f>
        <v>97.450266628300639</v>
      </c>
      <c r="Q166" s="31">
        <f>Datos!U37</f>
        <v>96.054317855478786</v>
      </c>
      <c r="R166" s="31">
        <f>Datos!V37</f>
        <v>97.810782777836948</v>
      </c>
      <c r="S166" s="31"/>
      <c r="T166" s="31"/>
      <c r="U166" s="18">
        <v>3</v>
      </c>
      <c r="V166" s="14">
        <f t="shared" si="18"/>
        <v>97.16869261156549</v>
      </c>
    </row>
    <row r="167" spans="6:22" x14ac:dyDescent="0.2">
      <c r="F167" s="13">
        <v>160</v>
      </c>
      <c r="G167" s="31">
        <f>Datos!Q37</f>
        <v>97.725192430444082</v>
      </c>
      <c r="H167" s="31">
        <f>Datos!R37</f>
        <v>95.01175365329739</v>
      </c>
      <c r="I167" s="31">
        <f>Datos!S37</f>
        <v>90.245159244980925</v>
      </c>
      <c r="J167" s="31"/>
      <c r="K167" s="31"/>
      <c r="L167" s="18">
        <v>3</v>
      </c>
      <c r="M167" s="14">
        <f t="shared" si="19"/>
        <v>95.294138659560247</v>
      </c>
      <c r="O167" s="13">
        <v>160</v>
      </c>
      <c r="P167" s="31">
        <f>Datos!T38</f>
        <v>102.65279194519833</v>
      </c>
      <c r="Q167" s="31">
        <f>Datos!U38</f>
        <v>107.55359195171395</v>
      </c>
      <c r="R167" s="31">
        <f>Datos!V38</f>
        <v>108.78699938864145</v>
      </c>
      <c r="S167" s="31"/>
      <c r="T167" s="31"/>
      <c r="U167" s="18">
        <v>3</v>
      </c>
      <c r="V167" s="14">
        <f t="shared" si="18"/>
        <v>107.0180660994918</v>
      </c>
    </row>
    <row r="168" spans="6:22" x14ac:dyDescent="0.2">
      <c r="F168" s="13">
        <v>200</v>
      </c>
      <c r="G168" s="31">
        <f>Datos!Q38</f>
        <v>101.76591545629906</v>
      </c>
      <c r="H168" s="31">
        <f>Datos!R38</f>
        <v>99.449095443036299</v>
      </c>
      <c r="I168" s="31">
        <f>Datos!S38</f>
        <v>100.82647485067677</v>
      </c>
      <c r="J168" s="31"/>
      <c r="K168" s="31"/>
      <c r="L168" s="18">
        <v>3</v>
      </c>
      <c r="M168" s="14">
        <f t="shared" si="19"/>
        <v>100.78240487587949</v>
      </c>
      <c r="O168" s="13">
        <v>200</v>
      </c>
      <c r="P168" s="31">
        <f>Datos!T39</f>
        <v>102.36722708541673</v>
      </c>
      <c r="Q168" s="31">
        <f>Datos!U39</f>
        <v>104.6689437025624</v>
      </c>
      <c r="R168" s="31">
        <f>Datos!V39</f>
        <v>102.4353287694216</v>
      </c>
      <c r="S168" s="31"/>
      <c r="T168" s="31"/>
      <c r="U168" s="18">
        <v>3</v>
      </c>
      <c r="V168" s="14">
        <f t="shared" si="18"/>
        <v>103.29527494237567</v>
      </c>
    </row>
    <row r="169" spans="6:22" x14ac:dyDescent="0.2">
      <c r="F169" s="13">
        <v>250</v>
      </c>
      <c r="G169" s="31">
        <f>Datos!Q39</f>
        <v>101.65376197606409</v>
      </c>
      <c r="H169" s="31">
        <f>Datos!R39</f>
        <v>98.88095782730197</v>
      </c>
      <c r="I169" s="31">
        <f>Datos!S39</f>
        <v>95.088804903252182</v>
      </c>
      <c r="J169" s="31"/>
      <c r="K169" s="31"/>
      <c r="L169" s="18">
        <v>3</v>
      </c>
      <c r="M169" s="14">
        <f t="shared" si="19"/>
        <v>99.309585179970853</v>
      </c>
      <c r="O169" s="13">
        <v>250</v>
      </c>
      <c r="P169" s="31">
        <f>Datos!T40</f>
        <v>97.766923287439255</v>
      </c>
      <c r="Q169" s="31">
        <f>Datos!U40</f>
        <v>105.98435236826664</v>
      </c>
      <c r="R169" s="31">
        <f>Datos!V40</f>
        <v>102.79811585703429</v>
      </c>
      <c r="S169" s="31"/>
      <c r="T169" s="31"/>
      <c r="U169" s="18">
        <v>3</v>
      </c>
      <c r="V169" s="14">
        <f t="shared" si="18"/>
        <v>103.33741121660132</v>
      </c>
    </row>
    <row r="170" spans="6:22" x14ac:dyDescent="0.2">
      <c r="F170" s="13">
        <v>315</v>
      </c>
      <c r="G170" s="31">
        <f>Datos!Q40</f>
        <v>99.048583711126184</v>
      </c>
      <c r="H170" s="31">
        <f>Datos!R40</f>
        <v>100.3262115965067</v>
      </c>
      <c r="I170" s="31">
        <f>Datos!S40</f>
        <v>99.465888487350114</v>
      </c>
      <c r="J170" s="31"/>
      <c r="K170" s="31"/>
      <c r="L170" s="18">
        <v>3</v>
      </c>
      <c r="M170" s="14">
        <f t="shared" si="19"/>
        <v>99.646599675074313</v>
      </c>
      <c r="O170" s="13">
        <v>315</v>
      </c>
      <c r="P170" s="31">
        <f>Datos!T41</f>
        <v>103.87255272010337</v>
      </c>
      <c r="Q170" s="31">
        <f>Datos!U41</f>
        <v>106.65615379554328</v>
      </c>
      <c r="R170" s="31">
        <f>Datos!V41</f>
        <v>103.0522753945411</v>
      </c>
      <c r="S170" s="31"/>
      <c r="T170" s="31"/>
      <c r="U170" s="18">
        <v>3</v>
      </c>
      <c r="V170" s="14">
        <f t="shared" si="18"/>
        <v>104.81396516338114</v>
      </c>
    </row>
    <row r="171" spans="6:22" x14ac:dyDescent="0.2">
      <c r="F171" s="13">
        <v>400</v>
      </c>
      <c r="G171" s="31">
        <f>Datos!Q41</f>
        <v>105.55935978147919</v>
      </c>
      <c r="H171" s="31">
        <f>Datos!R41</f>
        <v>104.27215514001432</v>
      </c>
      <c r="I171" s="31">
        <f>Datos!S41</f>
        <v>102.914374744504</v>
      </c>
      <c r="J171" s="31"/>
      <c r="K171" s="31"/>
      <c r="L171" s="18">
        <v>3</v>
      </c>
      <c r="M171" s="14">
        <f t="shared" si="19"/>
        <v>104.38152197155603</v>
      </c>
      <c r="O171" s="13">
        <v>400</v>
      </c>
      <c r="P171" s="31">
        <f>Datos!T42</f>
        <v>104.54250662163754</v>
      </c>
      <c r="Q171" s="31">
        <f>Datos!U42</f>
        <v>107.99291822645399</v>
      </c>
      <c r="R171" s="31">
        <f>Datos!V42</f>
        <v>107.01439321292419</v>
      </c>
      <c r="S171" s="31"/>
      <c r="T171" s="31"/>
      <c r="U171" s="18">
        <v>3</v>
      </c>
      <c r="V171" s="14">
        <f t="shared" si="18"/>
        <v>106.7436831046365</v>
      </c>
    </row>
    <row r="172" spans="6:22" x14ac:dyDescent="0.2">
      <c r="F172" s="13">
        <v>500</v>
      </c>
      <c r="G172" s="31">
        <f>Datos!Q42</f>
        <v>104.3433969912947</v>
      </c>
      <c r="H172" s="31">
        <f>Datos!R42</f>
        <v>101.84346614462596</v>
      </c>
      <c r="I172" s="31">
        <f>Datos!S42</f>
        <v>100.14294003508812</v>
      </c>
      <c r="J172" s="31"/>
      <c r="K172" s="31"/>
      <c r="L172" s="18">
        <v>3</v>
      </c>
      <c r="M172" s="14">
        <f t="shared" si="19"/>
        <v>102.45579399268433</v>
      </c>
      <c r="O172" s="13">
        <v>500</v>
      </c>
      <c r="P172" s="31">
        <f>Datos!T43</f>
        <v>101.1692827334025</v>
      </c>
      <c r="Q172" s="31">
        <f>Datos!U43</f>
        <v>106.87829577733599</v>
      </c>
      <c r="R172" s="31">
        <f>Datos!V43</f>
        <v>105.67336101164848</v>
      </c>
      <c r="S172" s="31"/>
      <c r="T172" s="31"/>
      <c r="U172" s="18">
        <v>3</v>
      </c>
      <c r="V172" s="14">
        <f t="shared" si="18"/>
        <v>105.17414551849207</v>
      </c>
    </row>
    <row r="173" spans="6:22" x14ac:dyDescent="0.2">
      <c r="F173" s="13">
        <v>630</v>
      </c>
      <c r="G173" s="31">
        <f>Datos!Q43</f>
        <v>101.55576492726634</v>
      </c>
      <c r="H173" s="31">
        <f>Datos!R43</f>
        <v>99.9477285312487</v>
      </c>
      <c r="I173" s="31">
        <f>Datos!S43</f>
        <v>100.54387461107831</v>
      </c>
      <c r="J173" s="31"/>
      <c r="K173" s="31"/>
      <c r="L173" s="18">
        <v>3</v>
      </c>
      <c r="M173" s="14">
        <f t="shared" si="19"/>
        <v>100.73380954696083</v>
      </c>
      <c r="O173" s="13">
        <v>630</v>
      </c>
      <c r="P173" s="31">
        <f>Datos!T44</f>
        <v>102.65169580145816</v>
      </c>
      <c r="Q173" s="31">
        <f>Datos!U44</f>
        <v>106.83260695940974</v>
      </c>
      <c r="R173" s="31">
        <f>Datos!V44</f>
        <v>103.81402809569641</v>
      </c>
      <c r="S173" s="31"/>
      <c r="T173" s="31"/>
      <c r="U173" s="18">
        <v>3</v>
      </c>
      <c r="V173" s="14">
        <f t="shared" si="18"/>
        <v>104.8050789768468</v>
      </c>
    </row>
    <row r="174" spans="6:22" x14ac:dyDescent="0.2">
      <c r="F174" s="13">
        <v>800</v>
      </c>
      <c r="G174" s="31">
        <f>Datos!Q44</f>
        <v>103.56635738160675</v>
      </c>
      <c r="H174" s="31">
        <f>Datos!R44</f>
        <v>101.06965831151781</v>
      </c>
      <c r="I174" s="31">
        <f>Datos!S44</f>
        <v>102.76069053472474</v>
      </c>
      <c r="J174" s="31"/>
      <c r="K174" s="31"/>
      <c r="L174" s="18">
        <v>3</v>
      </c>
      <c r="M174" s="14">
        <f t="shared" si="19"/>
        <v>102.58538491760294</v>
      </c>
      <c r="O174" s="13">
        <v>800</v>
      </c>
      <c r="P174" s="31">
        <f>Datos!T45</f>
        <v>100.92938680877968</v>
      </c>
      <c r="Q174" s="31">
        <f>Datos!U45</f>
        <v>105.72429737479301</v>
      </c>
      <c r="R174" s="31">
        <f>Datos!V45</f>
        <v>102.75530668795382</v>
      </c>
      <c r="S174" s="31"/>
      <c r="T174" s="31"/>
      <c r="U174" s="18">
        <v>3</v>
      </c>
      <c r="V174" s="14">
        <f t="shared" si="18"/>
        <v>103.59251642245471</v>
      </c>
    </row>
    <row r="175" spans="6:22" x14ac:dyDescent="0.2">
      <c r="F175" s="13">
        <v>1000</v>
      </c>
      <c r="G175" s="31">
        <f>Datos!Q45</f>
        <v>101.88191874627231</v>
      </c>
      <c r="H175" s="31">
        <f>Datos!R45</f>
        <v>99.413455290747919</v>
      </c>
      <c r="I175" s="31">
        <f>Datos!S45</f>
        <v>99.965429133925326</v>
      </c>
      <c r="J175" s="31"/>
      <c r="K175" s="31"/>
      <c r="L175" s="18">
        <v>3</v>
      </c>
      <c r="M175" s="14">
        <f t="shared" si="19"/>
        <v>100.55393532815344</v>
      </c>
      <c r="O175" s="13">
        <v>1000</v>
      </c>
      <c r="P175" s="31">
        <f>Datos!T46</f>
        <v>100.05770101212309</v>
      </c>
      <c r="Q175" s="31">
        <f>Datos!U46</f>
        <v>102.68630759188441</v>
      </c>
      <c r="R175" s="31">
        <f>Datos!V46</f>
        <v>99.916842571646654</v>
      </c>
      <c r="S175" s="31"/>
      <c r="T175" s="31"/>
      <c r="U175" s="18">
        <v>3</v>
      </c>
      <c r="V175" s="14">
        <f t="shared" si="18"/>
        <v>101.0841108292793</v>
      </c>
    </row>
    <row r="176" spans="6:22" x14ac:dyDescent="0.2">
      <c r="F176" s="13">
        <v>1250</v>
      </c>
      <c r="G176" s="31">
        <f>Datos!Q46</f>
        <v>99.136452073538564</v>
      </c>
      <c r="H176" s="31">
        <f>Datos!R46</f>
        <v>98.782299801984436</v>
      </c>
      <c r="I176" s="31">
        <f>Datos!S46</f>
        <v>96.37643038017805</v>
      </c>
      <c r="J176" s="31"/>
      <c r="K176" s="31"/>
      <c r="L176" s="18">
        <v>3</v>
      </c>
      <c r="M176" s="14">
        <f t="shared" si="19"/>
        <v>98.25929379041537</v>
      </c>
      <c r="O176" s="13">
        <v>1250</v>
      </c>
      <c r="P176" s="31">
        <f>Datos!T47</f>
        <v>97.272234728067502</v>
      </c>
      <c r="Q176" s="31">
        <f>Datos!U47</f>
        <v>101.71926413285854</v>
      </c>
      <c r="R176" s="31">
        <f>Datos!V47</f>
        <v>99.161635562326794</v>
      </c>
      <c r="S176" s="31"/>
      <c r="T176" s="31"/>
      <c r="U176" s="18">
        <v>3</v>
      </c>
      <c r="V176" s="14">
        <f t="shared" si="18"/>
        <v>99.767689122797591</v>
      </c>
    </row>
    <row r="177" spans="5:22" x14ac:dyDescent="0.2">
      <c r="F177" s="13">
        <v>1600</v>
      </c>
      <c r="G177" s="31">
        <f>Datos!Q47</f>
        <v>97.224674185304352</v>
      </c>
      <c r="H177" s="31">
        <f>Datos!R47</f>
        <v>98.254852071919203</v>
      </c>
      <c r="I177" s="31">
        <f>Datos!S47</f>
        <v>96.801504204328666</v>
      </c>
      <c r="J177" s="31"/>
      <c r="K177" s="31"/>
      <c r="L177" s="18">
        <v>3</v>
      </c>
      <c r="M177" s="14">
        <f t="shared" si="19"/>
        <v>97.470710070652856</v>
      </c>
      <c r="O177" s="13">
        <v>1600</v>
      </c>
      <c r="P177" s="31">
        <f>Datos!T48</f>
        <v>95.909856306206493</v>
      </c>
      <c r="Q177" s="31">
        <f>Datos!U48</f>
        <v>99.403028272669744</v>
      </c>
      <c r="R177" s="31">
        <f>Datos!V48</f>
        <v>99.624926573196532</v>
      </c>
      <c r="S177" s="31"/>
      <c r="T177" s="31"/>
      <c r="U177" s="18">
        <v>3</v>
      </c>
      <c r="V177" s="14">
        <f t="shared" si="18"/>
        <v>98.610882631472109</v>
      </c>
    </row>
    <row r="178" spans="5:22" x14ac:dyDescent="0.2">
      <c r="F178" s="13">
        <v>2000</v>
      </c>
      <c r="G178" s="31">
        <f>Datos!Q48</f>
        <v>94.834712482420031</v>
      </c>
      <c r="H178" s="31">
        <f>Datos!R48</f>
        <v>94.109800333676873</v>
      </c>
      <c r="I178" s="31">
        <f>Datos!S48</f>
        <v>94.514946303256721</v>
      </c>
      <c r="J178" s="31"/>
      <c r="K178" s="31"/>
      <c r="L178" s="18">
        <v>3</v>
      </c>
      <c r="M178" s="14">
        <f t="shared" si="19"/>
        <v>94.496577526384229</v>
      </c>
      <c r="O178" s="13">
        <v>2000</v>
      </c>
      <c r="P178" s="31">
        <f>Datos!T49</f>
        <v>95.741189727501151</v>
      </c>
      <c r="Q178" s="31">
        <f>Datos!U49</f>
        <v>99.848200009984467</v>
      </c>
      <c r="R178" s="31">
        <f>Datos!V49</f>
        <v>96.62522156712771</v>
      </c>
      <c r="S178" s="31"/>
      <c r="T178" s="31"/>
      <c r="U178" s="18">
        <v>3</v>
      </c>
      <c r="V178" s="14">
        <f t="shared" si="18"/>
        <v>97.782662632077759</v>
      </c>
    </row>
    <row r="179" spans="5:22" x14ac:dyDescent="0.2">
      <c r="F179" s="13">
        <v>2500</v>
      </c>
      <c r="G179" s="31">
        <f>Datos!Q49</f>
        <v>94.965967996293486</v>
      </c>
      <c r="H179" s="31">
        <f>Datos!R49</f>
        <v>94.762245536378472</v>
      </c>
      <c r="I179" s="31">
        <f>Datos!S49</f>
        <v>94.464729536189594</v>
      </c>
      <c r="J179" s="31"/>
      <c r="K179" s="31"/>
      <c r="L179" s="18">
        <v>3</v>
      </c>
      <c r="M179" s="14">
        <f t="shared" si="19"/>
        <v>94.735839498156594</v>
      </c>
      <c r="O179" s="13">
        <v>2500</v>
      </c>
      <c r="P179" s="31">
        <f>Datos!T50</f>
        <v>97.505512399726342</v>
      </c>
      <c r="Q179" s="31">
        <f>Datos!U50</f>
        <v>100.65860672068307</v>
      </c>
      <c r="R179" s="31">
        <f>Datos!V50</f>
        <v>99.51778295081651</v>
      </c>
      <c r="S179" s="31"/>
      <c r="T179" s="31"/>
      <c r="U179" s="18">
        <v>3</v>
      </c>
      <c r="V179" s="14">
        <f t="shared" si="18"/>
        <v>99.414643847974006</v>
      </c>
    </row>
    <row r="180" spans="5:22" x14ac:dyDescent="0.2">
      <c r="F180" s="13">
        <v>3150</v>
      </c>
      <c r="G180" s="31">
        <f>Datos!Q50</f>
        <v>96.920709924581033</v>
      </c>
      <c r="H180" s="31">
        <f>Datos!R50</f>
        <v>96.504280090332031</v>
      </c>
      <c r="I180" s="31">
        <f>Datos!S50</f>
        <v>96.314389648437498</v>
      </c>
      <c r="J180" s="31"/>
      <c r="K180" s="31"/>
      <c r="L180" s="18">
        <v>3</v>
      </c>
      <c r="M180" s="14">
        <f t="shared" si="19"/>
        <v>96.587232683117477</v>
      </c>
      <c r="O180" s="13">
        <v>3150</v>
      </c>
      <c r="P180" s="31">
        <f>Datos!T51</f>
        <v>95.391077447069776</v>
      </c>
      <c r="Q180" s="31">
        <f>Datos!U51</f>
        <v>98.701806532346012</v>
      </c>
      <c r="R180" s="31">
        <f>Datos!V51</f>
        <v>96.48088099604675</v>
      </c>
      <c r="S180" s="31"/>
      <c r="T180" s="31"/>
      <c r="U180" s="18">
        <v>3</v>
      </c>
      <c r="V180" s="14">
        <f t="shared" si="18"/>
        <v>97.082410695841133</v>
      </c>
    </row>
    <row r="181" spans="5:22" x14ac:dyDescent="0.2">
      <c r="F181" s="13">
        <v>4000</v>
      </c>
      <c r="G181" s="31">
        <f>Datos!Q51</f>
        <v>95.318000534589729</v>
      </c>
      <c r="H181" s="31">
        <f>Datos!R51</f>
        <v>94.359807490035436</v>
      </c>
      <c r="I181" s="31">
        <f>Datos!S51</f>
        <v>93.99417249812636</v>
      </c>
      <c r="J181" s="31"/>
      <c r="K181" s="31"/>
      <c r="L181" s="18">
        <v>3</v>
      </c>
      <c r="M181" s="14">
        <f t="shared" si="19"/>
        <v>94.593869595948362</v>
      </c>
      <c r="O181" s="13">
        <v>4000</v>
      </c>
      <c r="P181" s="31">
        <f>Datos!T52</f>
        <v>91.546067800186918</v>
      </c>
      <c r="Q181" s="31">
        <f>Datos!U52</f>
        <v>94.64424519400859</v>
      </c>
      <c r="R181" s="31">
        <f>Datos!V52</f>
        <v>94.190177777619894</v>
      </c>
      <c r="S181" s="31"/>
      <c r="T181" s="31"/>
      <c r="U181" s="18">
        <v>3</v>
      </c>
      <c r="V181" s="14">
        <f t="shared" si="18"/>
        <v>93.658304478209885</v>
      </c>
    </row>
    <row r="182" spans="5:22" x14ac:dyDescent="0.2">
      <c r="F182" s="15">
        <v>5000</v>
      </c>
      <c r="G182" s="32">
        <f>Datos!Q52</f>
        <v>92.21257168610741</v>
      </c>
      <c r="H182" s="32">
        <f>Datos!R52</f>
        <v>90.60489799830637</v>
      </c>
      <c r="I182" s="32">
        <f>Datos!S52</f>
        <v>90.287851406363558</v>
      </c>
      <c r="J182" s="32"/>
      <c r="K182" s="32"/>
      <c r="L182" s="16">
        <v>3</v>
      </c>
      <c r="M182" s="17">
        <f t="shared" si="19"/>
        <v>91.119760367262927</v>
      </c>
      <c r="O182" s="15">
        <v>5000</v>
      </c>
      <c r="P182" s="32">
        <f>Datos!T53</f>
        <v>90.275203479195696</v>
      </c>
      <c r="Q182" s="32">
        <f>Datos!U53</f>
        <v>93.017006404816158</v>
      </c>
      <c r="R182" s="32">
        <f>Datos!V53</f>
        <v>93.113593271956546</v>
      </c>
      <c r="S182" s="32"/>
      <c r="T182" s="32"/>
      <c r="U182" s="16">
        <v>3</v>
      </c>
      <c r="V182" s="17">
        <f t="shared" si="18"/>
        <v>92.318642969588055</v>
      </c>
    </row>
    <row r="184" spans="5:22" x14ac:dyDescent="0.2">
      <c r="E184" t="s">
        <v>114</v>
      </c>
      <c r="F184" s="165" t="s">
        <v>44</v>
      </c>
      <c r="G184" s="166"/>
      <c r="H184" s="166"/>
      <c r="I184" s="166"/>
      <c r="J184" s="166"/>
      <c r="K184" s="166"/>
      <c r="L184" s="166"/>
      <c r="M184" s="167"/>
      <c r="O184" s="165" t="s">
        <v>44</v>
      </c>
      <c r="P184" s="166"/>
      <c r="Q184" s="166"/>
      <c r="R184" s="166"/>
      <c r="S184" s="166"/>
      <c r="T184" s="166"/>
      <c r="U184" s="166"/>
      <c r="V184" s="167"/>
    </row>
    <row r="185" spans="5:22" x14ac:dyDescent="0.2">
      <c r="F185" s="162" t="s">
        <v>25</v>
      </c>
      <c r="G185" s="163"/>
      <c r="H185" s="163"/>
      <c r="I185" s="163"/>
      <c r="J185" s="163"/>
      <c r="K185" s="163"/>
      <c r="L185" s="163"/>
      <c r="M185" s="164"/>
      <c r="O185" s="162" t="s">
        <v>28</v>
      </c>
      <c r="P185" s="163"/>
      <c r="Q185" s="163"/>
      <c r="R185" s="163"/>
      <c r="S185" s="163"/>
      <c r="T185" s="163"/>
      <c r="U185" s="163"/>
      <c r="V185" s="164"/>
    </row>
    <row r="186" spans="5:22" ht="34" x14ac:dyDescent="0.2">
      <c r="F186" s="9" t="s">
        <v>20</v>
      </c>
      <c r="G186" s="25" t="s">
        <v>64</v>
      </c>
      <c r="H186" s="25" t="s">
        <v>65</v>
      </c>
      <c r="I186" s="25" t="s">
        <v>66</v>
      </c>
      <c r="J186" s="25"/>
      <c r="K186" s="25"/>
      <c r="L186" s="11" t="s">
        <v>26</v>
      </c>
      <c r="M186" s="12" t="s">
        <v>27</v>
      </c>
      <c r="O186" s="9" t="s">
        <v>20</v>
      </c>
      <c r="P186" s="25" t="s">
        <v>69</v>
      </c>
      <c r="Q186" s="25" t="s">
        <v>70</v>
      </c>
      <c r="R186" s="25" t="s">
        <v>71</v>
      </c>
      <c r="S186" s="25" t="s">
        <v>72</v>
      </c>
      <c r="T186" s="25" t="s">
        <v>73</v>
      </c>
      <c r="U186" s="11" t="s">
        <v>26</v>
      </c>
      <c r="V186" s="12" t="s">
        <v>49</v>
      </c>
    </row>
    <row r="187" spans="5:22" x14ac:dyDescent="0.2">
      <c r="F187" s="13">
        <v>50</v>
      </c>
      <c r="G187" s="31">
        <f>Datos!Q61</f>
        <v>81.037103370843937</v>
      </c>
      <c r="H187" s="31">
        <f>Datos!R61</f>
        <v>69.773363505824335</v>
      </c>
      <c r="I187" s="31">
        <f>Datos!S61</f>
        <v>86.32098395931051</v>
      </c>
      <c r="J187" s="31"/>
      <c r="K187" s="31"/>
      <c r="L187" s="18">
        <v>3</v>
      </c>
      <c r="M187" s="14">
        <f>10*LOG10((10^($G187/10)+10^($H187/10)+10^($I187/10)+10^($J187/10)+10^($K187/10))/$L187)</f>
        <v>82.750116264149298</v>
      </c>
      <c r="O187" s="13">
        <v>50</v>
      </c>
      <c r="P187" s="31">
        <f>Datos!T61</f>
        <v>88.580837717225776</v>
      </c>
      <c r="Q187" s="31">
        <f>Datos!U61</f>
        <v>87.980913635483361</v>
      </c>
      <c r="R187" s="31">
        <f>Datos!V61</f>
        <v>86.555781080425632</v>
      </c>
      <c r="S187" s="31"/>
      <c r="T187" s="31"/>
      <c r="U187" s="18">
        <v>5</v>
      </c>
      <c r="V187" s="14">
        <f t="shared" ref="V187:V207" si="20">10*LOG10((10^(P187/10)+10^(Q187/10)+10^(R187/10)+10^(S187/10)+10^(T187/10))/U187)</f>
        <v>85.567594562429491</v>
      </c>
    </row>
    <row r="188" spans="5:22" x14ac:dyDescent="0.2">
      <c r="F188" s="13">
        <v>63</v>
      </c>
      <c r="G188" s="31">
        <f>Datos!Q62</f>
        <v>87.251535594851475</v>
      </c>
      <c r="H188" s="31">
        <f>Datos!R62</f>
        <v>82.514081730454734</v>
      </c>
      <c r="I188" s="31">
        <f>Datos!S62</f>
        <v>90.656280263506943</v>
      </c>
      <c r="J188" s="31"/>
      <c r="K188" s="31"/>
      <c r="L188" s="18">
        <v>3</v>
      </c>
      <c r="M188" s="14">
        <f t="shared" ref="M188:M207" si="21">10*LOG10((10^(G188/10)+10^(H188/10)+10^(I188/10)+10^(J188/10)+10^(K188/10))/L188)</f>
        <v>87.953253983634241</v>
      </c>
      <c r="O188" s="13">
        <v>63</v>
      </c>
      <c r="P188" s="31">
        <f>Datos!T62</f>
        <v>90.14233554022907</v>
      </c>
      <c r="Q188" s="31">
        <f>Datos!U62</f>
        <v>90.977529561609259</v>
      </c>
      <c r="R188" s="31">
        <f>Datos!V62</f>
        <v>90.393781812615217</v>
      </c>
      <c r="S188" s="31"/>
      <c r="T188" s="31"/>
      <c r="U188" s="18">
        <v>5</v>
      </c>
      <c r="V188" s="14">
        <f t="shared" si="20"/>
        <v>88.30030833937785</v>
      </c>
    </row>
    <row r="189" spans="5:22" x14ac:dyDescent="0.2">
      <c r="F189" s="13">
        <v>80</v>
      </c>
      <c r="G189" s="31">
        <f>Datos!Q63</f>
        <v>90.777490156306783</v>
      </c>
      <c r="H189" s="31">
        <f>Datos!R63</f>
        <v>91.177839923475346</v>
      </c>
      <c r="I189" s="31">
        <f>Datos!S63</f>
        <v>94.485681078300146</v>
      </c>
      <c r="J189" s="31"/>
      <c r="K189" s="31"/>
      <c r="L189" s="18">
        <v>3</v>
      </c>
      <c r="M189" s="14">
        <f t="shared" si="21"/>
        <v>92.485210968042622</v>
      </c>
      <c r="O189" s="13">
        <v>80</v>
      </c>
      <c r="P189" s="31">
        <f>Datos!T63</f>
        <v>89.608592148469469</v>
      </c>
      <c r="Q189" s="31">
        <f>Datos!U63</f>
        <v>92.369244489454687</v>
      </c>
      <c r="R189" s="31">
        <f>Datos!V63</f>
        <v>95.23819189679611</v>
      </c>
      <c r="S189" s="31"/>
      <c r="T189" s="31"/>
      <c r="U189" s="18">
        <v>5</v>
      </c>
      <c r="V189" s="14">
        <f t="shared" si="20"/>
        <v>90.777249325956575</v>
      </c>
    </row>
    <row r="190" spans="5:22" x14ac:dyDescent="0.2">
      <c r="F190" s="13">
        <v>100</v>
      </c>
      <c r="G190" s="31">
        <f>Datos!Q64</f>
        <v>90.953976837867913</v>
      </c>
      <c r="H190" s="31">
        <f>Datos!R64</f>
        <v>87.450091501628378</v>
      </c>
      <c r="I190" s="31">
        <f>Datos!S64</f>
        <v>83.974256593539081</v>
      </c>
      <c r="J190" s="31"/>
      <c r="K190" s="31"/>
      <c r="L190" s="18">
        <v>3</v>
      </c>
      <c r="M190" s="14">
        <f t="shared" si="21"/>
        <v>88.349025901016091</v>
      </c>
      <c r="O190" s="13">
        <v>100</v>
      </c>
      <c r="P190" s="31">
        <f>Datos!T64</f>
        <v>82.663077023455315</v>
      </c>
      <c r="Q190" s="31">
        <f>Datos!U64</f>
        <v>90.73211324304566</v>
      </c>
      <c r="R190" s="31">
        <f>Datos!V64</f>
        <v>85.933895637374277</v>
      </c>
      <c r="S190" s="31"/>
      <c r="T190" s="31"/>
      <c r="U190" s="18">
        <v>5</v>
      </c>
      <c r="V190" s="14">
        <f t="shared" si="20"/>
        <v>85.466273166969557</v>
      </c>
    </row>
    <row r="191" spans="5:22" x14ac:dyDescent="0.2">
      <c r="F191" s="13">
        <v>125</v>
      </c>
      <c r="G191" s="31">
        <f>Datos!Q65</f>
        <v>88.923487094613009</v>
      </c>
      <c r="H191" s="31">
        <f>Datos!R65</f>
        <v>89.292771875116813</v>
      </c>
      <c r="I191" s="31">
        <f>Datos!S65</f>
        <v>85.392050005389208</v>
      </c>
      <c r="J191" s="31"/>
      <c r="K191" s="31"/>
      <c r="L191" s="18">
        <v>3</v>
      </c>
      <c r="M191" s="14">
        <f t="shared" si="21"/>
        <v>88.187276299778574</v>
      </c>
      <c r="O191" s="13">
        <v>125</v>
      </c>
      <c r="P191" s="31">
        <f>Datos!T65</f>
        <v>86.347007722917056</v>
      </c>
      <c r="Q191" s="31">
        <f>Datos!U65</f>
        <v>92.442844806757194</v>
      </c>
      <c r="R191" s="31">
        <f>Datos!V65</f>
        <v>86.416556578834886</v>
      </c>
      <c r="S191" s="31"/>
      <c r="T191" s="31"/>
      <c r="U191" s="18">
        <v>5</v>
      </c>
      <c r="V191" s="14">
        <f t="shared" si="20"/>
        <v>87.200657739676245</v>
      </c>
    </row>
    <row r="192" spans="5:22" x14ac:dyDescent="0.2">
      <c r="F192" s="13">
        <v>160</v>
      </c>
      <c r="G192" s="31">
        <f>Datos!Q66</f>
        <v>98.45681524942087</v>
      </c>
      <c r="H192" s="31">
        <f>Datos!R66</f>
        <v>96.985328411485597</v>
      </c>
      <c r="I192" s="31">
        <f>Datos!S66</f>
        <v>96.495622789145202</v>
      </c>
      <c r="J192" s="31"/>
      <c r="K192" s="31"/>
      <c r="L192" s="18">
        <v>3</v>
      </c>
      <c r="M192" s="14">
        <f t="shared" si="21"/>
        <v>97.394857565264431</v>
      </c>
      <c r="O192" s="13">
        <v>160</v>
      </c>
      <c r="P192" s="31">
        <f>Datos!T66</f>
        <v>99.300112653826858</v>
      </c>
      <c r="Q192" s="31">
        <f>Datos!U66</f>
        <v>99.545118095283215</v>
      </c>
      <c r="R192" s="31">
        <f>Datos!V66</f>
        <v>100.86197477244514</v>
      </c>
      <c r="S192" s="31"/>
      <c r="T192" s="31"/>
      <c r="U192" s="18">
        <v>5</v>
      </c>
      <c r="V192" s="14">
        <f t="shared" si="20"/>
        <v>97.739709994970326</v>
      </c>
    </row>
    <row r="193" spans="6:22" x14ac:dyDescent="0.2">
      <c r="F193" s="13">
        <v>200</v>
      </c>
      <c r="G193" s="31">
        <f>Datos!Q67</f>
        <v>104.19492844692496</v>
      </c>
      <c r="H193" s="31">
        <f>Datos!R67</f>
        <v>101.09353049976404</v>
      </c>
      <c r="I193" s="31">
        <f>Datos!S67</f>
        <v>97.313379797676873</v>
      </c>
      <c r="J193" s="31"/>
      <c r="K193" s="31"/>
      <c r="L193" s="18">
        <v>3</v>
      </c>
      <c r="M193" s="14">
        <f t="shared" si="21"/>
        <v>101.71455265215185</v>
      </c>
      <c r="O193" s="13">
        <v>200</v>
      </c>
      <c r="P193" s="31">
        <f>Datos!T67</f>
        <v>103.11973244191554</v>
      </c>
      <c r="Q193" s="31">
        <f>Datos!U67</f>
        <v>107.2282868578918</v>
      </c>
      <c r="R193" s="31">
        <f>Datos!V67</f>
        <v>99.540568205654679</v>
      </c>
      <c r="S193" s="31"/>
      <c r="T193" s="31"/>
      <c r="U193" s="18">
        <v>5</v>
      </c>
      <c r="V193" s="14">
        <f t="shared" si="20"/>
        <v>102.16589138892232</v>
      </c>
    </row>
    <row r="194" spans="6:22" x14ac:dyDescent="0.2">
      <c r="F194" s="13">
        <v>250</v>
      </c>
      <c r="G194" s="31">
        <f>Datos!Q68</f>
        <v>107.57456868016443</v>
      </c>
      <c r="H194" s="31">
        <f>Datos!R68</f>
        <v>103.1653101067794</v>
      </c>
      <c r="I194" s="31">
        <f>Datos!S68</f>
        <v>101.55784447957627</v>
      </c>
      <c r="J194" s="31"/>
      <c r="K194" s="31"/>
      <c r="L194" s="18">
        <v>3</v>
      </c>
      <c r="M194" s="14">
        <f t="shared" si="21"/>
        <v>104.87842891058021</v>
      </c>
      <c r="O194" s="13">
        <v>250</v>
      </c>
      <c r="P194" s="31">
        <f>Datos!T68</f>
        <v>106.91698425121682</v>
      </c>
      <c r="Q194" s="31">
        <f>Datos!U68</f>
        <v>106.92322936810945</v>
      </c>
      <c r="R194" s="31">
        <f>Datos!V68</f>
        <v>103.68640765363438</v>
      </c>
      <c r="S194" s="31"/>
      <c r="T194" s="31"/>
      <c r="U194" s="18">
        <v>5</v>
      </c>
      <c r="V194" s="14">
        <f t="shared" si="20"/>
        <v>103.86603779631039</v>
      </c>
    </row>
    <row r="195" spans="6:22" x14ac:dyDescent="0.2">
      <c r="F195" s="13">
        <v>315</v>
      </c>
      <c r="G195" s="31">
        <f>Datos!Q69</f>
        <v>103.80777898034384</v>
      </c>
      <c r="H195" s="31">
        <f>Datos!R69</f>
        <v>103.24908775804145</v>
      </c>
      <c r="I195" s="31">
        <f>Datos!S69</f>
        <v>99.490227732853484</v>
      </c>
      <c r="J195" s="31"/>
      <c r="K195" s="31"/>
      <c r="L195" s="18">
        <v>3</v>
      </c>
      <c r="M195" s="14">
        <f t="shared" si="21"/>
        <v>102.55708703195566</v>
      </c>
      <c r="O195" s="13">
        <v>315</v>
      </c>
      <c r="P195" s="31">
        <f>Datos!T69</f>
        <v>104.075606607521</v>
      </c>
      <c r="Q195" s="31">
        <f>Datos!U69</f>
        <v>105.36603185467254</v>
      </c>
      <c r="R195" s="31">
        <f>Datos!V69</f>
        <v>102.56141022338286</v>
      </c>
      <c r="S195" s="31"/>
      <c r="T195" s="31"/>
      <c r="U195" s="18">
        <v>5</v>
      </c>
      <c r="V195" s="14">
        <f t="shared" si="20"/>
        <v>101.93122182772376</v>
      </c>
    </row>
    <row r="196" spans="6:22" x14ac:dyDescent="0.2">
      <c r="F196" s="13">
        <v>400</v>
      </c>
      <c r="G196" s="31">
        <f>Datos!Q70</f>
        <v>103.20124936835711</v>
      </c>
      <c r="H196" s="31">
        <f>Datos!R70</f>
        <v>103.50771377052416</v>
      </c>
      <c r="I196" s="31">
        <f>Datos!S70</f>
        <v>104.298273473099</v>
      </c>
      <c r="J196" s="31"/>
      <c r="K196" s="31"/>
      <c r="L196" s="18">
        <v>3</v>
      </c>
      <c r="M196" s="14">
        <f t="shared" si="21"/>
        <v>103.69405326030659</v>
      </c>
      <c r="O196" s="13">
        <v>400</v>
      </c>
      <c r="P196" s="31">
        <f>Datos!T70</f>
        <v>102.88817041894896</v>
      </c>
      <c r="Q196" s="31">
        <f>Datos!U70</f>
        <v>109.99119998100109</v>
      </c>
      <c r="R196" s="31">
        <f>Datos!V70</f>
        <v>103.35808281576372</v>
      </c>
      <c r="S196" s="31"/>
      <c r="T196" s="31"/>
      <c r="U196" s="18">
        <v>5</v>
      </c>
      <c r="V196" s="14">
        <f t="shared" si="20"/>
        <v>104.49973223069404</v>
      </c>
    </row>
    <row r="197" spans="6:22" x14ac:dyDescent="0.2">
      <c r="F197" s="13">
        <v>500</v>
      </c>
      <c r="G197" s="31">
        <f>Datos!Q71</f>
        <v>103.85984981803007</v>
      </c>
      <c r="H197" s="31">
        <f>Datos!R71</f>
        <v>104.97064116993589</v>
      </c>
      <c r="I197" s="31">
        <f>Datos!S71</f>
        <v>104.97256465371056</v>
      </c>
      <c r="J197" s="31"/>
      <c r="K197" s="31"/>
      <c r="L197" s="18">
        <v>3</v>
      </c>
      <c r="M197" s="14">
        <f t="shared" si="21"/>
        <v>104.6316886479341</v>
      </c>
      <c r="O197" s="13">
        <v>500</v>
      </c>
      <c r="P197" s="31">
        <f>Datos!T71</f>
        <v>104.01217818371708</v>
      </c>
      <c r="Q197" s="31">
        <f>Datos!U71</f>
        <v>102.78424401390821</v>
      </c>
      <c r="R197" s="31">
        <f>Datos!V71</f>
        <v>101.39967217703982</v>
      </c>
      <c r="S197" s="31"/>
      <c r="T197" s="31"/>
      <c r="U197" s="18">
        <v>5</v>
      </c>
      <c r="V197" s="14">
        <f t="shared" si="20"/>
        <v>100.64291755319439</v>
      </c>
    </row>
    <row r="198" spans="6:22" x14ac:dyDescent="0.2">
      <c r="F198" s="13">
        <v>630</v>
      </c>
      <c r="G198" s="31">
        <f>Datos!Q72</f>
        <v>103.17815752606059</v>
      </c>
      <c r="H198" s="31">
        <f>Datos!R72</f>
        <v>102.77670731977983</v>
      </c>
      <c r="I198" s="31">
        <f>Datos!S72</f>
        <v>99.917388872460563</v>
      </c>
      <c r="J198" s="31"/>
      <c r="K198" s="31"/>
      <c r="L198" s="18">
        <v>3</v>
      </c>
      <c r="M198" s="14">
        <f t="shared" si="21"/>
        <v>102.17943515987918</v>
      </c>
      <c r="O198" s="13">
        <v>630</v>
      </c>
      <c r="P198" s="31">
        <f>Datos!T72</f>
        <v>103.58723338370685</v>
      </c>
      <c r="Q198" s="31">
        <f>Datos!U72</f>
        <v>105.7688500612302</v>
      </c>
      <c r="R198" s="31">
        <f>Datos!V72</f>
        <v>103.32793961514982</v>
      </c>
      <c r="S198" s="31"/>
      <c r="T198" s="31"/>
      <c r="U198" s="18">
        <v>5</v>
      </c>
      <c r="V198" s="14">
        <f t="shared" si="20"/>
        <v>102.15406276502361</v>
      </c>
    </row>
    <row r="199" spans="6:22" x14ac:dyDescent="0.2">
      <c r="F199" s="13">
        <v>800</v>
      </c>
      <c r="G199" s="31">
        <f>Datos!Q73</f>
        <v>102.94325051241142</v>
      </c>
      <c r="H199" s="31">
        <f>Datos!R73</f>
        <v>99.620212668094908</v>
      </c>
      <c r="I199" s="31">
        <f>Datos!S73</f>
        <v>101.2015238289148</v>
      </c>
      <c r="J199" s="31"/>
      <c r="K199" s="31"/>
      <c r="L199" s="18">
        <v>3</v>
      </c>
      <c r="M199" s="14">
        <f t="shared" si="21"/>
        <v>101.46577033732814</v>
      </c>
      <c r="O199" s="13">
        <v>800</v>
      </c>
      <c r="P199" s="31">
        <f>Datos!T73</f>
        <v>103.90996777041144</v>
      </c>
      <c r="Q199" s="31">
        <f>Datos!U73</f>
        <v>104.92402591561913</v>
      </c>
      <c r="R199" s="31">
        <f>Datos!V73</f>
        <v>101.54321770345904</v>
      </c>
      <c r="S199" s="31"/>
      <c r="T199" s="31"/>
      <c r="U199" s="18">
        <v>5</v>
      </c>
      <c r="V199" s="14">
        <f t="shared" si="20"/>
        <v>101.45783715993198</v>
      </c>
    </row>
    <row r="200" spans="6:22" x14ac:dyDescent="0.2">
      <c r="F200" s="13">
        <v>1000</v>
      </c>
      <c r="G200" s="31">
        <f>Datos!Q74</f>
        <v>100.23914883635764</v>
      </c>
      <c r="H200" s="31">
        <f>Datos!R74</f>
        <v>100.17212704745207</v>
      </c>
      <c r="I200" s="31">
        <f>Datos!S74</f>
        <v>99.492687272526439</v>
      </c>
      <c r="J200" s="31"/>
      <c r="K200" s="31"/>
      <c r="L200" s="18">
        <v>3</v>
      </c>
      <c r="M200" s="14">
        <f t="shared" si="21"/>
        <v>99.980836543715071</v>
      </c>
      <c r="O200" s="13">
        <v>1000</v>
      </c>
      <c r="P200" s="31">
        <f>Datos!T74</f>
        <v>100.39587637862945</v>
      </c>
      <c r="Q200" s="31">
        <f>Datos!U74</f>
        <v>100.29689618877899</v>
      </c>
      <c r="R200" s="31">
        <f>Datos!V74</f>
        <v>100.78417875106622</v>
      </c>
      <c r="S200" s="31"/>
      <c r="T200" s="31"/>
      <c r="U200" s="18">
        <v>5</v>
      </c>
      <c r="V200" s="14">
        <f t="shared" si="20"/>
        <v>98.278968210323711</v>
      </c>
    </row>
    <row r="201" spans="6:22" x14ac:dyDescent="0.2">
      <c r="F201" s="13">
        <v>1250</v>
      </c>
      <c r="G201" s="31">
        <f>Datos!Q75</f>
        <v>99.613147561716474</v>
      </c>
      <c r="H201" s="31">
        <f>Datos!R75</f>
        <v>98.458214163894283</v>
      </c>
      <c r="I201" s="31">
        <f>Datos!S75</f>
        <v>98.852766441686398</v>
      </c>
      <c r="J201" s="31"/>
      <c r="K201" s="31"/>
      <c r="L201" s="18">
        <v>3</v>
      </c>
      <c r="M201" s="14">
        <f t="shared" si="21"/>
        <v>99.001473503415994</v>
      </c>
      <c r="O201" s="13">
        <v>1250</v>
      </c>
      <c r="P201" s="31">
        <f>Datos!T75</f>
        <v>98.561943775030699</v>
      </c>
      <c r="Q201" s="31">
        <f>Datos!U75</f>
        <v>99.003216255876353</v>
      </c>
      <c r="R201" s="31">
        <f>Datos!V75</f>
        <v>102.0438783538557</v>
      </c>
      <c r="S201" s="31"/>
      <c r="T201" s="31"/>
      <c r="U201" s="18">
        <v>5</v>
      </c>
      <c r="V201" s="14">
        <f t="shared" si="20"/>
        <v>97.943513159102309</v>
      </c>
    </row>
    <row r="202" spans="6:22" x14ac:dyDescent="0.2">
      <c r="F202" s="13">
        <v>1600</v>
      </c>
      <c r="G202" s="31">
        <f>Datos!Q76</f>
        <v>98.590760015443308</v>
      </c>
      <c r="H202" s="31">
        <f>Datos!R76</f>
        <v>98.426183607475608</v>
      </c>
      <c r="I202" s="31">
        <f>Datos!S76</f>
        <v>97.814981934232563</v>
      </c>
      <c r="J202" s="31"/>
      <c r="K202" s="31"/>
      <c r="L202" s="18">
        <v>3</v>
      </c>
      <c r="M202" s="14">
        <f t="shared" si="21"/>
        <v>98.289932760871466</v>
      </c>
      <c r="O202" s="13">
        <v>1600</v>
      </c>
      <c r="P202" s="31">
        <f>Datos!T76</f>
        <v>99.178125079933793</v>
      </c>
      <c r="Q202" s="31">
        <f>Datos!U76</f>
        <v>98.682000203240193</v>
      </c>
      <c r="R202" s="31">
        <f>Datos!V76</f>
        <v>98.503328325179055</v>
      </c>
      <c r="S202" s="31"/>
      <c r="T202" s="31"/>
      <c r="U202" s="18">
        <v>5</v>
      </c>
      <c r="V202" s="14">
        <f t="shared" si="20"/>
        <v>96.578810906263101</v>
      </c>
    </row>
    <row r="203" spans="6:22" x14ac:dyDescent="0.2">
      <c r="F203" s="13">
        <v>2000</v>
      </c>
      <c r="G203" s="31">
        <f>Datos!Q77</f>
        <v>98.734543414448581</v>
      </c>
      <c r="H203" s="31">
        <f>Datos!R77</f>
        <v>97.724535548744015</v>
      </c>
      <c r="I203" s="31">
        <f>Datos!S77</f>
        <v>97.594419629998029</v>
      </c>
      <c r="J203" s="31"/>
      <c r="K203" s="31"/>
      <c r="L203" s="18">
        <v>3</v>
      </c>
      <c r="M203" s="14">
        <f t="shared" si="21"/>
        <v>98.048458277988146</v>
      </c>
      <c r="O203" s="13">
        <v>2000</v>
      </c>
      <c r="P203" s="31">
        <f>Datos!T77</f>
        <v>98.396718937844398</v>
      </c>
      <c r="Q203" s="31">
        <f>Datos!U77</f>
        <v>98.753352107858305</v>
      </c>
      <c r="R203" s="31">
        <f>Datos!V77</f>
        <v>96.452286049709443</v>
      </c>
      <c r="S203" s="31"/>
      <c r="T203" s="31"/>
      <c r="U203" s="18">
        <v>5</v>
      </c>
      <c r="V203" s="14">
        <f t="shared" si="20"/>
        <v>95.76015144798285</v>
      </c>
    </row>
    <row r="204" spans="6:22" x14ac:dyDescent="0.2">
      <c r="F204" s="13">
        <v>2500</v>
      </c>
      <c r="G204" s="31">
        <f>Datos!Q78</f>
        <v>99.435035975256625</v>
      </c>
      <c r="H204" s="31">
        <f>Datos!R78</f>
        <v>98.187275892923893</v>
      </c>
      <c r="I204" s="31">
        <f>Datos!S78</f>
        <v>99.094359081206605</v>
      </c>
      <c r="J204" s="31"/>
      <c r="K204" s="31"/>
      <c r="L204" s="18">
        <v>3</v>
      </c>
      <c r="M204" s="14">
        <f t="shared" si="21"/>
        <v>98.936793621565016</v>
      </c>
      <c r="O204" s="13">
        <v>2500</v>
      </c>
      <c r="P204" s="31">
        <f>Datos!T78</f>
        <v>99.742124587827135</v>
      </c>
      <c r="Q204" s="31">
        <f>Datos!U78</f>
        <v>100.78932798715462</v>
      </c>
      <c r="R204" s="31">
        <f>Datos!V78</f>
        <v>100.09747297757019</v>
      </c>
      <c r="S204" s="31"/>
      <c r="T204" s="31"/>
      <c r="U204" s="18">
        <v>5</v>
      </c>
      <c r="V204" s="14">
        <f t="shared" si="20"/>
        <v>98.013161480521632</v>
      </c>
    </row>
    <row r="205" spans="6:22" x14ac:dyDescent="0.2">
      <c r="F205" s="13">
        <v>3150</v>
      </c>
      <c r="G205" s="31">
        <f>Datos!Q79</f>
        <v>97.897397184150165</v>
      </c>
      <c r="H205" s="31">
        <f>Datos!R79</f>
        <v>97.041257524262207</v>
      </c>
      <c r="I205" s="31">
        <f>Datos!S79</f>
        <v>97.103584768656432</v>
      </c>
      <c r="J205" s="31"/>
      <c r="K205" s="31"/>
      <c r="L205" s="18">
        <v>3</v>
      </c>
      <c r="M205" s="14">
        <f t="shared" si="21"/>
        <v>97.36524410109071</v>
      </c>
      <c r="O205" s="13">
        <v>3150</v>
      </c>
      <c r="P205" s="31">
        <f>Datos!T79</f>
        <v>97.863061003867884</v>
      </c>
      <c r="Q205" s="31">
        <f>Datos!U79</f>
        <v>98.470690368709711</v>
      </c>
      <c r="R205" s="31">
        <f>Datos!V79</f>
        <v>96.438454574454298</v>
      </c>
      <c r="S205" s="31"/>
      <c r="T205" s="31"/>
      <c r="U205" s="18">
        <v>5</v>
      </c>
      <c r="V205" s="14">
        <f t="shared" si="20"/>
        <v>95.45295979312364</v>
      </c>
    </row>
    <row r="206" spans="6:22" x14ac:dyDescent="0.2">
      <c r="F206" s="13">
        <v>4000</v>
      </c>
      <c r="G206" s="31">
        <f>Datos!Q80</f>
        <v>94.325834861577945</v>
      </c>
      <c r="H206" s="31">
        <f>Datos!R80</f>
        <v>93.207997124046798</v>
      </c>
      <c r="I206" s="31">
        <f>Datos!S80</f>
        <v>92.94559636283897</v>
      </c>
      <c r="J206" s="31"/>
      <c r="K206" s="31"/>
      <c r="L206" s="18">
        <v>3</v>
      </c>
      <c r="M206" s="14">
        <f t="shared" si="21"/>
        <v>93.535420989634645</v>
      </c>
      <c r="O206" s="13">
        <v>4000</v>
      </c>
      <c r="P206" s="31">
        <f>Datos!T80</f>
        <v>94.296003621799912</v>
      </c>
      <c r="Q206" s="31">
        <f>Datos!U80</f>
        <v>95.691542539381444</v>
      </c>
      <c r="R206" s="31">
        <f>Datos!V80</f>
        <v>94.686570934292021</v>
      </c>
      <c r="S206" s="31"/>
      <c r="T206" s="31"/>
      <c r="U206" s="18">
        <v>5</v>
      </c>
      <c r="V206" s="14">
        <f t="shared" si="20"/>
        <v>92.713434364540163</v>
      </c>
    </row>
    <row r="207" spans="6:22" x14ac:dyDescent="0.2">
      <c r="F207" s="15">
        <v>5000</v>
      </c>
      <c r="G207" s="32">
        <f>Datos!Q81</f>
        <v>91.885779816383533</v>
      </c>
      <c r="H207" s="32">
        <f>Datos!R81</f>
        <v>91.89495202023447</v>
      </c>
      <c r="I207" s="32">
        <f>Datos!S81</f>
        <v>91.533914328302004</v>
      </c>
      <c r="J207" s="32"/>
      <c r="K207" s="32"/>
      <c r="L207" s="16">
        <v>3</v>
      </c>
      <c r="M207" s="17">
        <f t="shared" si="21"/>
        <v>91.774770825635329</v>
      </c>
      <c r="O207" s="15">
        <v>5000</v>
      </c>
      <c r="P207" s="32">
        <f>Datos!T81</f>
        <v>93.380406178973118</v>
      </c>
      <c r="Q207" s="32">
        <f>Datos!U81</f>
        <v>93.368185681507995</v>
      </c>
      <c r="R207" s="32">
        <f>Datos!V81</f>
        <v>92.640858825335158</v>
      </c>
      <c r="S207" s="32"/>
      <c r="T207" s="32"/>
      <c r="U207" s="16">
        <v>5</v>
      </c>
      <c r="V207" s="17">
        <f t="shared" si="20"/>
        <v>90.924826443865953</v>
      </c>
    </row>
    <row r="210" spans="5:22" x14ac:dyDescent="0.2">
      <c r="E210" t="s">
        <v>114</v>
      </c>
      <c r="F210" s="165" t="s">
        <v>45</v>
      </c>
      <c r="G210" s="166"/>
      <c r="H210" s="166"/>
      <c r="I210" s="166"/>
      <c r="J210" s="166"/>
      <c r="K210" s="166"/>
      <c r="L210" s="166"/>
      <c r="M210" s="167"/>
      <c r="O210" s="165" t="s">
        <v>45</v>
      </c>
      <c r="P210" s="166"/>
      <c r="Q210" s="166"/>
      <c r="R210" s="166"/>
      <c r="S210" s="166"/>
      <c r="T210" s="166"/>
      <c r="U210" s="166"/>
      <c r="V210" s="167"/>
    </row>
    <row r="211" spans="5:22" x14ac:dyDescent="0.2">
      <c r="F211" s="162" t="s">
        <v>25</v>
      </c>
      <c r="G211" s="163"/>
      <c r="H211" s="163"/>
      <c r="I211" s="163"/>
      <c r="J211" s="163"/>
      <c r="K211" s="163"/>
      <c r="L211" s="163"/>
      <c r="M211" s="164"/>
      <c r="O211" s="162" t="s">
        <v>28</v>
      </c>
      <c r="P211" s="163"/>
      <c r="Q211" s="163"/>
      <c r="R211" s="163"/>
      <c r="S211" s="163"/>
      <c r="T211" s="163"/>
      <c r="U211" s="163"/>
      <c r="V211" s="164"/>
    </row>
    <row r="212" spans="5:22" ht="34" x14ac:dyDescent="0.2">
      <c r="F212" s="9" t="s">
        <v>20</v>
      </c>
      <c r="G212" s="25" t="s">
        <v>64</v>
      </c>
      <c r="H212" s="25" t="s">
        <v>65</v>
      </c>
      <c r="I212" s="25" t="s">
        <v>66</v>
      </c>
      <c r="J212" s="25" t="s">
        <v>67</v>
      </c>
      <c r="K212" s="25" t="s">
        <v>68</v>
      </c>
      <c r="L212" s="11" t="s">
        <v>26</v>
      </c>
      <c r="M212" s="12" t="s">
        <v>27</v>
      </c>
      <c r="O212" s="9" t="s">
        <v>20</v>
      </c>
      <c r="P212" s="25" t="s">
        <v>69</v>
      </c>
      <c r="Q212" s="25" t="s">
        <v>70</v>
      </c>
      <c r="R212" s="25" t="s">
        <v>71</v>
      </c>
      <c r="S212" s="25" t="s">
        <v>72</v>
      </c>
      <c r="T212" s="25" t="s">
        <v>73</v>
      </c>
      <c r="U212" s="11" t="s">
        <v>26</v>
      </c>
      <c r="V212" s="12" t="s">
        <v>49</v>
      </c>
    </row>
    <row r="213" spans="5:22" x14ac:dyDescent="0.2">
      <c r="F213" s="13">
        <v>50</v>
      </c>
      <c r="G213" s="31">
        <f>Datos!Q87</f>
        <v>86</v>
      </c>
      <c r="H213" s="31">
        <f>Datos!R87</f>
        <v>83.123510114723274</v>
      </c>
      <c r="I213" s="31">
        <f>Datos!S87</f>
        <v>87.980913635483361</v>
      </c>
      <c r="J213" s="31">
        <f>Datos!T87</f>
        <v>75.199756914642251</v>
      </c>
      <c r="K213" s="31">
        <f>Datos!U87</f>
        <v>86.555781080425632</v>
      </c>
      <c r="L213" s="18">
        <v>5</v>
      </c>
      <c r="M213" s="14">
        <f>10*LOG10((10^($G213/10)+10^($H213/10)+10^($I213/10)+10^($J213/10)+10^($K213/10))/$L213)</f>
        <v>85.358379325969992</v>
      </c>
      <c r="O213" s="13">
        <v>50</v>
      </c>
      <c r="P213" s="31">
        <f>Datos!V87</f>
        <v>80.057120008933168</v>
      </c>
      <c r="Q213" s="31">
        <f>Datos!W87</f>
        <v>77.602896688612347</v>
      </c>
      <c r="R213" s="31">
        <f>Datos!X87</f>
        <v>82.97510590091828</v>
      </c>
      <c r="S213" s="31">
        <f>Datos!Y87</f>
        <v>83</v>
      </c>
      <c r="T213" s="31">
        <f>Datos!Z87</f>
        <v>70.388628232399853</v>
      </c>
      <c r="U213" s="18">
        <v>5</v>
      </c>
      <c r="V213" s="14">
        <f t="shared" ref="V213:V233" si="22">10*LOG10((10^(P213/10)+10^(Q213/10)+10^(R213/10)+10^(S213/10)+10^(T213/10))/U213)</f>
        <v>80.551905465327579</v>
      </c>
    </row>
    <row r="214" spans="5:22" x14ac:dyDescent="0.2">
      <c r="F214" s="13">
        <v>63</v>
      </c>
      <c r="G214" s="31">
        <f>Datos!Q88</f>
        <v>93</v>
      </c>
      <c r="H214" s="31">
        <f>Datos!R88</f>
        <v>86.114745145423385</v>
      </c>
      <c r="I214" s="31">
        <f>Datos!S88</f>
        <v>90.977529561609259</v>
      </c>
      <c r="J214" s="31">
        <f>Datos!T88</f>
        <v>83.46411587544624</v>
      </c>
      <c r="K214" s="31">
        <f>Datos!U88</f>
        <v>90.393781812615217</v>
      </c>
      <c r="L214" s="18">
        <v>5</v>
      </c>
      <c r="M214" s="14">
        <f t="shared" ref="M214:M233" si="23">10*LOG10((10^(G214/10)+10^(H214/10)+10^(I214/10)+10^(J214/10)+10^(K214/10))/L214)</f>
        <v>89.976830343281506</v>
      </c>
      <c r="O214" s="13">
        <v>63</v>
      </c>
      <c r="P214" s="31">
        <f>Datos!V88</f>
        <v>79.093252646547327</v>
      </c>
      <c r="Q214" s="31">
        <f>Datos!W88</f>
        <v>82.151660413373236</v>
      </c>
      <c r="R214" s="31">
        <f>Datos!X88</f>
        <v>84.974258987455713</v>
      </c>
      <c r="S214" s="31">
        <f>Datos!Y88</f>
        <v>91.98087587187382</v>
      </c>
      <c r="T214" s="31">
        <f>Datos!Z88</f>
        <v>75.092467182155801</v>
      </c>
      <c r="U214" s="18">
        <v>5</v>
      </c>
      <c r="V214" s="14">
        <f t="shared" si="22"/>
        <v>86.374637782171604</v>
      </c>
    </row>
    <row r="215" spans="5:22" x14ac:dyDescent="0.2">
      <c r="F215" s="13">
        <v>80</v>
      </c>
      <c r="G215" s="31">
        <f>Datos!Q89</f>
        <v>89.1</v>
      </c>
      <c r="H215" s="31">
        <f>Datos!R89</f>
        <v>90.158799101927571</v>
      </c>
      <c r="I215" s="31">
        <f>Datos!S89</f>
        <v>92.369244489454687</v>
      </c>
      <c r="J215" s="31">
        <f>Datos!T89</f>
        <v>90.641555959364098</v>
      </c>
      <c r="K215" s="31">
        <f>Datos!U89</f>
        <v>95.23819189679611</v>
      </c>
      <c r="L215" s="18">
        <v>5</v>
      </c>
      <c r="M215" s="14">
        <f t="shared" si="23"/>
        <v>92.081919785837343</v>
      </c>
      <c r="O215" s="13">
        <v>80</v>
      </c>
      <c r="P215" s="31">
        <f>Datos!V89</f>
        <v>82.820581539995686</v>
      </c>
      <c r="Q215" s="31">
        <f>Datos!W89</f>
        <v>94.344562130079737</v>
      </c>
      <c r="R215" s="31">
        <f>Datos!X89</f>
        <v>92.791803501136386</v>
      </c>
      <c r="S215" s="31">
        <f>Datos!Y89</f>
        <v>93.150044153607084</v>
      </c>
      <c r="T215" s="31">
        <f>Datos!Z89</f>
        <v>83.465417867372523</v>
      </c>
      <c r="U215" s="18">
        <v>5</v>
      </c>
      <c r="V215" s="14">
        <f t="shared" si="22"/>
        <v>91.522951419290379</v>
      </c>
    </row>
    <row r="216" spans="5:22" x14ac:dyDescent="0.2">
      <c r="F216" s="13">
        <v>100</v>
      </c>
      <c r="G216" s="31">
        <f>Datos!Q90</f>
        <v>80.2</v>
      </c>
      <c r="H216" s="31">
        <f>Datos!R90</f>
        <v>86.53137559979875</v>
      </c>
      <c r="I216" s="31">
        <f>Datos!S90</f>
        <v>90.73211324304566</v>
      </c>
      <c r="J216" s="31">
        <f>Datos!T90</f>
        <v>89.299503654833657</v>
      </c>
      <c r="K216" s="31">
        <f>Datos!U90</f>
        <v>85.933895637374277</v>
      </c>
      <c r="L216" s="18">
        <v>5</v>
      </c>
      <c r="M216" s="14">
        <f t="shared" si="23"/>
        <v>87.754483126196746</v>
      </c>
      <c r="O216" s="13">
        <v>100</v>
      </c>
      <c r="P216" s="31">
        <f>Datos!V90</f>
        <v>82.54241943359375</v>
      </c>
      <c r="Q216" s="31">
        <f>Datos!W90</f>
        <v>88.224942307445886</v>
      </c>
      <c r="R216" s="31">
        <f>Datos!X90</f>
        <v>92.294432428349126</v>
      </c>
      <c r="S216" s="31">
        <f>Datos!Y90</f>
        <v>97.030537552748967</v>
      </c>
      <c r="T216" s="31">
        <f>Datos!Z90</f>
        <v>88.750856571614122</v>
      </c>
      <c r="U216" s="18">
        <v>5</v>
      </c>
      <c r="V216" s="14">
        <f t="shared" si="22"/>
        <v>92.220616724858928</v>
      </c>
    </row>
    <row r="217" spans="5:22" x14ac:dyDescent="0.2">
      <c r="F217" s="13">
        <v>125</v>
      </c>
      <c r="G217" s="31">
        <f>Datos!Q91</f>
        <v>92.2</v>
      </c>
      <c r="H217" s="31">
        <f>Datos!R91</f>
        <v>90.683369816575095</v>
      </c>
      <c r="I217" s="31">
        <f>Datos!S91</f>
        <v>92.442844806757194</v>
      </c>
      <c r="J217" s="31">
        <f>Datos!T91</f>
        <v>90.607802153761469</v>
      </c>
      <c r="K217" s="31">
        <f>Datos!U91</f>
        <v>86.416556578834886</v>
      </c>
      <c r="L217" s="18">
        <v>5</v>
      </c>
      <c r="M217" s="14">
        <f t="shared" si="23"/>
        <v>90.91556180651142</v>
      </c>
      <c r="O217" s="13">
        <v>125</v>
      </c>
      <c r="P217" s="31">
        <f>Datos!V91</f>
        <v>90.318446125660842</v>
      </c>
      <c r="Q217" s="31">
        <f>Datos!W91</f>
        <v>89.046106826754126</v>
      </c>
      <c r="R217" s="31">
        <f>Datos!X91</f>
        <v>93.052286933450134</v>
      </c>
      <c r="S217" s="31">
        <f>Datos!Y91</f>
        <v>96.054317855478786</v>
      </c>
      <c r="T217" s="31">
        <f>Datos!Z91</f>
        <v>88.838520068162296</v>
      </c>
      <c r="U217" s="18">
        <v>5</v>
      </c>
      <c r="V217" s="14">
        <f t="shared" si="22"/>
        <v>92.402909786288362</v>
      </c>
    </row>
    <row r="218" spans="5:22" x14ac:dyDescent="0.2">
      <c r="F218" s="13">
        <v>160</v>
      </c>
      <c r="G218" s="31">
        <f>Datos!Q92</f>
        <v>99.2</v>
      </c>
      <c r="H218" s="31">
        <f>Datos!R92</f>
        <v>98.276448572461845</v>
      </c>
      <c r="I218" s="31">
        <f>Datos!S92</f>
        <v>99.545118095283215</v>
      </c>
      <c r="J218" s="31">
        <f>Datos!T92</f>
        <v>91.621883663007864</v>
      </c>
      <c r="K218" s="31">
        <f>Datos!U92</f>
        <v>100.86197477244514</v>
      </c>
      <c r="L218" s="18">
        <v>5</v>
      </c>
      <c r="M218" s="14">
        <f t="shared" si="23"/>
        <v>98.773214332514513</v>
      </c>
      <c r="O218" s="13">
        <v>160</v>
      </c>
      <c r="P218" s="31">
        <f>Datos!V92</f>
        <v>102.16405054946797</v>
      </c>
      <c r="Q218" s="31">
        <f>Datos!W92</f>
        <v>96.205488665108305</v>
      </c>
      <c r="R218" s="31">
        <f>Datos!X92</f>
        <v>101.1</v>
      </c>
      <c r="S218" s="31">
        <f>Datos!Y92</f>
        <v>107.55359195171395</v>
      </c>
      <c r="T218" s="31">
        <f>Datos!Z92</f>
        <v>100.67327406286401</v>
      </c>
      <c r="U218" s="18">
        <v>5</v>
      </c>
      <c r="V218" s="14">
        <f t="shared" si="22"/>
        <v>103.10161125650069</v>
      </c>
    </row>
    <row r="219" spans="5:22" x14ac:dyDescent="0.2">
      <c r="F219" s="13">
        <v>200</v>
      </c>
      <c r="G219" s="31">
        <f>Datos!Q93</f>
        <v>99.9</v>
      </c>
      <c r="H219" s="31">
        <f>Datos!R93</f>
        <v>103.18007895211193</v>
      </c>
      <c r="I219" s="31">
        <f>Datos!S93</f>
        <v>107.2282868578918</v>
      </c>
      <c r="J219" s="31">
        <f>Datos!T93</f>
        <v>96.175737653459819</v>
      </c>
      <c r="K219" s="31">
        <f>Datos!U93</f>
        <v>99</v>
      </c>
      <c r="L219" s="18">
        <v>5</v>
      </c>
      <c r="M219" s="14">
        <f t="shared" si="23"/>
        <v>102.80952200457263</v>
      </c>
      <c r="O219" s="13">
        <v>200</v>
      </c>
      <c r="P219" s="31">
        <f>Datos!V93</f>
        <v>100.08203963723315</v>
      </c>
      <c r="Q219" s="31">
        <f>Datos!W93</f>
        <v>101.38444249274322</v>
      </c>
      <c r="R219" s="31">
        <f>Datos!X93</f>
        <v>98.564226320617792</v>
      </c>
      <c r="S219" s="31">
        <f>Datos!Y93</f>
        <v>104.6</v>
      </c>
      <c r="T219" s="31">
        <f>Datos!Z93</f>
        <v>99.052820957397572</v>
      </c>
      <c r="U219" s="18">
        <v>5</v>
      </c>
      <c r="V219" s="14">
        <f t="shared" si="22"/>
        <v>101.33608580352261</v>
      </c>
    </row>
    <row r="220" spans="5:22" x14ac:dyDescent="0.2">
      <c r="F220" s="13">
        <v>250</v>
      </c>
      <c r="G220" s="31">
        <f>Datos!Q94</f>
        <v>100.6</v>
      </c>
      <c r="H220" s="31">
        <f>Datos!R94</f>
        <v>105.47880425141237</v>
      </c>
      <c r="I220" s="31">
        <f>Datos!S94</f>
        <v>106.92322936810945</v>
      </c>
      <c r="J220" s="31">
        <f>Datos!T94</f>
        <v>104.05067718130525</v>
      </c>
      <c r="K220" s="31">
        <f>Datos!U94</f>
        <v>103.68640765363438</v>
      </c>
      <c r="L220" s="18">
        <v>5</v>
      </c>
      <c r="M220" s="14">
        <f t="shared" si="23"/>
        <v>104.61838771985873</v>
      </c>
      <c r="O220" s="13">
        <v>250</v>
      </c>
      <c r="P220" s="31">
        <f>Datos!V94</f>
        <v>103.05628069537872</v>
      </c>
      <c r="Q220" s="31">
        <f>Datos!W94</f>
        <v>98.084716206756084</v>
      </c>
      <c r="R220" s="31">
        <f>Datos!X94</f>
        <v>99.689839878842321</v>
      </c>
      <c r="S220" s="31">
        <f>Datos!Y94</f>
        <v>105.98435236826664</v>
      </c>
      <c r="T220" s="31">
        <f>Datos!Z94</f>
        <v>101.8</v>
      </c>
      <c r="U220" s="18">
        <v>5</v>
      </c>
      <c r="V220" s="14">
        <f t="shared" si="22"/>
        <v>102.58927446368163</v>
      </c>
    </row>
    <row r="221" spans="5:22" x14ac:dyDescent="0.2">
      <c r="F221" s="13">
        <v>315</v>
      </c>
      <c r="G221" s="31">
        <f>Datos!Q95</f>
        <v>102.39969116152474</v>
      </c>
      <c r="H221" s="31">
        <f>Datos!R95</f>
        <v>102.61549303999571</v>
      </c>
      <c r="I221" s="31">
        <f>Datos!S95</f>
        <v>105</v>
      </c>
      <c r="J221" s="31">
        <f>Datos!T95</f>
        <v>101.40336061764576</v>
      </c>
      <c r="K221" s="31">
        <f>Datos!U95</f>
        <v>102.56141022338286</v>
      </c>
      <c r="L221" s="18">
        <v>5</v>
      </c>
      <c r="M221" s="14">
        <f t="shared" si="23"/>
        <v>102.97156897810049</v>
      </c>
      <c r="O221" s="13">
        <v>315</v>
      </c>
      <c r="P221" s="31">
        <f>Datos!V95</f>
        <v>103.57878066156746</v>
      </c>
      <c r="Q221" s="31">
        <f>Datos!W95</f>
        <v>100.42696854115411</v>
      </c>
      <c r="R221" s="31">
        <f>Datos!X95</f>
        <v>104.3</v>
      </c>
      <c r="S221" s="31">
        <f>Datos!Y95</f>
        <v>106.65615379554328</v>
      </c>
      <c r="T221" s="31">
        <f>Datos!Z95</f>
        <v>100.5370927033601</v>
      </c>
      <c r="U221" s="18">
        <v>5</v>
      </c>
      <c r="V221" s="14">
        <f t="shared" si="22"/>
        <v>103.74255284362113</v>
      </c>
    </row>
    <row r="222" spans="5:22" x14ac:dyDescent="0.2">
      <c r="F222" s="13">
        <v>400</v>
      </c>
      <c r="G222" s="31">
        <f>Datos!Q96</f>
        <v>102.5</v>
      </c>
      <c r="H222" s="31">
        <f>Datos!R96</f>
        <v>102.5</v>
      </c>
      <c r="I222" s="31">
        <f>Datos!S96</f>
        <v>109.1</v>
      </c>
      <c r="J222" s="31">
        <f>Datos!T96</f>
        <v>103.32413372231071</v>
      </c>
      <c r="K222" s="31">
        <f>Datos!U96</f>
        <v>103.35808281576372</v>
      </c>
      <c r="L222" s="18">
        <v>5</v>
      </c>
      <c r="M222" s="14">
        <f t="shared" si="23"/>
        <v>105.05190343428495</v>
      </c>
      <c r="O222" s="13">
        <v>400</v>
      </c>
      <c r="P222" s="31">
        <f>Datos!V96</f>
        <v>102.29772960877806</v>
      </c>
      <c r="Q222" s="31">
        <f>Datos!W96</f>
        <v>100.1</v>
      </c>
      <c r="R222" s="31">
        <f>Datos!X96</f>
        <v>101.23107393326298</v>
      </c>
      <c r="S222" s="31">
        <f>Datos!Y96</f>
        <v>108.3</v>
      </c>
      <c r="T222" s="31">
        <f>Datos!Z96</f>
        <v>103.49666707037974</v>
      </c>
      <c r="U222" s="18">
        <v>5</v>
      </c>
      <c r="V222" s="14">
        <f t="shared" si="22"/>
        <v>104.16514203838075</v>
      </c>
    </row>
    <row r="223" spans="5:22" x14ac:dyDescent="0.2">
      <c r="F223" s="13">
        <v>500</v>
      </c>
      <c r="G223" s="31">
        <f>Datos!Q97</f>
        <v>101.4</v>
      </c>
      <c r="H223" s="31">
        <f>Datos!R97</f>
        <v>102.57454388342171</v>
      </c>
      <c r="I223" s="31">
        <f>Datos!S97</f>
        <v>102.78424401390821</v>
      </c>
      <c r="J223" s="31">
        <f>Datos!T97</f>
        <v>98.9</v>
      </c>
      <c r="K223" s="31">
        <f>Datos!U97</f>
        <v>101.1</v>
      </c>
      <c r="L223" s="18">
        <v>5</v>
      </c>
      <c r="M223" s="14">
        <f t="shared" si="23"/>
        <v>101.55488297088851</v>
      </c>
      <c r="O223" s="13">
        <v>500</v>
      </c>
      <c r="P223" s="31">
        <f>Datos!V97</f>
        <v>101.32755777236953</v>
      </c>
      <c r="Q223" s="31">
        <f>Datos!W97</f>
        <v>102</v>
      </c>
      <c r="R223" s="31">
        <f>Datos!X97</f>
        <v>101.4</v>
      </c>
      <c r="S223" s="31">
        <f>Datos!Y97</f>
        <v>106.87829577733599</v>
      </c>
      <c r="T223" s="31">
        <f>Datos!Z97</f>
        <v>100.15221033340845</v>
      </c>
      <c r="U223" s="18">
        <v>5</v>
      </c>
      <c r="V223" s="14">
        <f t="shared" si="22"/>
        <v>103.10984948627465</v>
      </c>
    </row>
    <row r="224" spans="5:22" x14ac:dyDescent="0.2">
      <c r="F224" s="13">
        <v>630</v>
      </c>
      <c r="G224" s="31">
        <f>Datos!Q98</f>
        <v>101.3</v>
      </c>
      <c r="H224" s="31">
        <f>Datos!R98</f>
        <v>100.1758442317214</v>
      </c>
      <c r="I224" s="31">
        <f>Datos!S98</f>
        <v>105.7688500612302</v>
      </c>
      <c r="J224" s="31">
        <f>Datos!T98</f>
        <v>97.824363232110059</v>
      </c>
      <c r="K224" s="31">
        <f>Datos!U98</f>
        <v>103.32793961514982</v>
      </c>
      <c r="L224" s="18">
        <v>5</v>
      </c>
      <c r="M224" s="14">
        <f t="shared" si="23"/>
        <v>102.51527050634182</v>
      </c>
      <c r="O224" s="13">
        <v>630</v>
      </c>
      <c r="P224" s="31">
        <f>Datos!V98</f>
        <v>102.0639731143926</v>
      </c>
      <c r="Q224" s="31">
        <f>Datos!W98</f>
        <v>97.415841490743787</v>
      </c>
      <c r="R224" s="31">
        <f>Datos!X98</f>
        <v>101.68213686861621</v>
      </c>
      <c r="S224" s="31">
        <f>Datos!Y98</f>
        <v>106.83260695940974</v>
      </c>
      <c r="T224" s="31">
        <f>Datos!Z98</f>
        <v>101.02315561814412</v>
      </c>
      <c r="U224" s="18">
        <v>5</v>
      </c>
      <c r="V224" s="14">
        <f t="shared" si="22"/>
        <v>102.88742086750771</v>
      </c>
    </row>
    <row r="225" spans="5:22" x14ac:dyDescent="0.2">
      <c r="F225" s="13">
        <v>800</v>
      </c>
      <c r="G225" s="31">
        <f>Datos!Q99</f>
        <v>101</v>
      </c>
      <c r="H225" s="31">
        <f>Datos!R99</f>
        <v>98.856015913063118</v>
      </c>
      <c r="I225" s="31">
        <f>Datos!S99</f>
        <v>105</v>
      </c>
      <c r="J225" s="31">
        <f>Datos!T99</f>
        <v>99.096685360824594</v>
      </c>
      <c r="K225" s="31">
        <f>Datos!U99</f>
        <v>101</v>
      </c>
      <c r="L225" s="18">
        <v>5</v>
      </c>
      <c r="M225" s="14">
        <f t="shared" si="23"/>
        <v>101.62012319663245</v>
      </c>
      <c r="O225" s="13">
        <v>800</v>
      </c>
      <c r="P225" s="31">
        <f>Datos!V99</f>
        <v>98.086578216115527</v>
      </c>
      <c r="Q225" s="31">
        <f>Datos!W99</f>
        <v>99.5</v>
      </c>
      <c r="R225" s="31">
        <f>Datos!X99</f>
        <v>99.9</v>
      </c>
      <c r="S225" s="31">
        <f>Datos!Y99</f>
        <v>105.4</v>
      </c>
      <c r="T225" s="31">
        <f>Datos!Z99</f>
        <v>100.74278038292982</v>
      </c>
      <c r="U225" s="18">
        <v>5</v>
      </c>
      <c r="V225" s="14">
        <f t="shared" si="22"/>
        <v>101.56309630934631</v>
      </c>
    </row>
    <row r="226" spans="5:22" x14ac:dyDescent="0.2">
      <c r="F226" s="13">
        <v>1000</v>
      </c>
      <c r="G226" s="31">
        <f>Datos!Q100</f>
        <v>99.9</v>
      </c>
      <c r="H226" s="31">
        <f>Datos!R100</f>
        <v>99.625883726316076</v>
      </c>
      <c r="I226" s="31">
        <f>Datos!S100</f>
        <v>100.29689618877899</v>
      </c>
      <c r="J226" s="31">
        <f>Datos!T100</f>
        <v>99.898631634527263</v>
      </c>
      <c r="K226" s="31">
        <f>Datos!U100</f>
        <v>100.78417875106622</v>
      </c>
      <c r="L226" s="18">
        <v>5</v>
      </c>
      <c r="M226" s="14">
        <f t="shared" si="23"/>
        <v>100.12016396845772</v>
      </c>
      <c r="O226" s="13">
        <v>1000</v>
      </c>
      <c r="P226" s="31">
        <f>Datos!V100</f>
        <v>98.493062016615553</v>
      </c>
      <c r="Q226" s="31">
        <f>Datos!W100</f>
        <v>98.167160258986897</v>
      </c>
      <c r="R226" s="31">
        <f>Datos!X100</f>
        <v>98.675611282435497</v>
      </c>
      <c r="S226" s="31">
        <f>Datos!Y100</f>
        <v>102.68630759188441</v>
      </c>
      <c r="T226" s="31">
        <f>Datos!Z100</f>
        <v>98.962460741584678</v>
      </c>
      <c r="U226" s="18">
        <v>5</v>
      </c>
      <c r="V226" s="14">
        <f t="shared" si="22"/>
        <v>99.771205217763281</v>
      </c>
    </row>
    <row r="227" spans="5:22" x14ac:dyDescent="0.2">
      <c r="F227" s="13">
        <v>1250</v>
      </c>
      <c r="G227" s="31">
        <f>Datos!Q101</f>
        <v>97.5</v>
      </c>
      <c r="H227" s="31">
        <f>Datos!R101</f>
        <v>97.888356638400353</v>
      </c>
      <c r="I227" s="31">
        <f>Datos!S101</f>
        <v>99.1</v>
      </c>
      <c r="J227" s="31">
        <f>Datos!T101</f>
        <v>96.185030248780919</v>
      </c>
      <c r="K227" s="31">
        <f>Datos!U101</f>
        <v>102.1</v>
      </c>
      <c r="L227" s="18">
        <v>5</v>
      </c>
      <c r="M227" s="14">
        <f t="shared" si="23"/>
        <v>99.060505578075393</v>
      </c>
      <c r="O227" s="13">
        <v>1250</v>
      </c>
      <c r="P227" s="31">
        <f>Datos!V101</f>
        <v>97.674552064912021</v>
      </c>
      <c r="Q227" s="31">
        <f>Datos!W101</f>
        <v>96</v>
      </c>
      <c r="R227" s="31">
        <f>Datos!X101</f>
        <v>98.393778770200669</v>
      </c>
      <c r="S227" s="31">
        <f>Datos!Y101</f>
        <v>101.71926413285854</v>
      </c>
      <c r="T227" s="31">
        <f>Datos!Z101</f>
        <v>96.985578741669542</v>
      </c>
      <c r="U227" s="18">
        <v>5</v>
      </c>
      <c r="V227" s="14">
        <f t="shared" si="22"/>
        <v>98.64458961797439</v>
      </c>
    </row>
    <row r="228" spans="5:22" x14ac:dyDescent="0.2">
      <c r="F228" s="13">
        <v>1600</v>
      </c>
      <c r="G228" s="31">
        <f>Datos!Q102</f>
        <v>95.4</v>
      </c>
      <c r="H228" s="31">
        <f>Datos!R102</f>
        <v>97.603268347053884</v>
      </c>
      <c r="I228" s="31">
        <f>Datos!S102</f>
        <v>98.682000203240193</v>
      </c>
      <c r="J228" s="31">
        <f>Datos!T102</f>
        <v>94.178634910619593</v>
      </c>
      <c r="K228" s="31">
        <f>Datos!U102</f>
        <v>98.503328325179055</v>
      </c>
      <c r="L228" s="18">
        <v>5</v>
      </c>
      <c r="M228" s="14">
        <f t="shared" si="23"/>
        <v>97.211638392963224</v>
      </c>
      <c r="O228" s="13">
        <v>1600</v>
      </c>
      <c r="P228" s="31">
        <f>Datos!V102</f>
        <v>96.05450388444757</v>
      </c>
      <c r="Q228" s="31">
        <f>Datos!W102</f>
        <v>95.336600337019718</v>
      </c>
      <c r="R228" s="31">
        <f>Datos!X102</f>
        <v>95.8</v>
      </c>
      <c r="S228" s="31">
        <f>Datos!Y102</f>
        <v>99.403028272669744</v>
      </c>
      <c r="T228" s="31">
        <f>Datos!Z102</f>
        <v>95.550884395356647</v>
      </c>
      <c r="U228" s="18">
        <v>5</v>
      </c>
      <c r="V228" s="14">
        <f t="shared" si="22"/>
        <v>96.731319613448719</v>
      </c>
    </row>
    <row r="229" spans="5:22" x14ac:dyDescent="0.2">
      <c r="F229" s="13">
        <v>2000</v>
      </c>
      <c r="G229" s="31">
        <f>Datos!Q103</f>
        <v>96.1</v>
      </c>
      <c r="H229" s="31">
        <f>Datos!R103</f>
        <v>97.694933304831252</v>
      </c>
      <c r="I229" s="31">
        <f>Datos!S103</f>
        <v>98.753352107858305</v>
      </c>
      <c r="J229" s="31">
        <f>Datos!T103</f>
        <v>96.6</v>
      </c>
      <c r="K229" s="31">
        <f>Datos!U103</f>
        <v>96.2</v>
      </c>
      <c r="L229" s="18">
        <v>5</v>
      </c>
      <c r="M229" s="14">
        <f t="shared" si="23"/>
        <v>97.193260111338148</v>
      </c>
      <c r="O229" s="13">
        <v>2000</v>
      </c>
      <c r="P229" s="31">
        <f>Datos!V103</f>
        <v>96.133978063078757</v>
      </c>
      <c r="Q229" s="31">
        <f>Datos!W103</f>
        <v>95</v>
      </c>
      <c r="R229" s="31">
        <f>Datos!X103</f>
        <v>94.851422702564918</v>
      </c>
      <c r="S229" s="31">
        <f>Datos!Y103</f>
        <v>99.9</v>
      </c>
      <c r="T229" s="31">
        <f>Datos!Z103</f>
        <v>95.649005466037323</v>
      </c>
      <c r="U229" s="18">
        <v>5</v>
      </c>
      <c r="V229" s="14">
        <f t="shared" si="22"/>
        <v>96.770291042863391</v>
      </c>
    </row>
    <row r="230" spans="5:22" x14ac:dyDescent="0.2">
      <c r="F230" s="13">
        <v>2500</v>
      </c>
      <c r="G230" s="31">
        <f>Datos!Q104</f>
        <v>99.1</v>
      </c>
      <c r="H230" s="31">
        <f>Datos!R104</f>
        <v>98.007521442163764</v>
      </c>
      <c r="I230" s="31">
        <f>Datos!S104</f>
        <v>100.1</v>
      </c>
      <c r="J230" s="31">
        <f>Datos!T104</f>
        <v>96.452622398297066</v>
      </c>
      <c r="K230" s="31">
        <f>Datos!U104</f>
        <v>100.09747297757019</v>
      </c>
      <c r="L230" s="18">
        <v>5</v>
      </c>
      <c r="M230" s="14">
        <f t="shared" si="23"/>
        <v>98.957218568045974</v>
      </c>
      <c r="O230" s="13">
        <v>2500</v>
      </c>
      <c r="P230" s="31">
        <f>Datos!V104</f>
        <v>97.504595628098983</v>
      </c>
      <c r="Q230" s="31">
        <f>Datos!W104</f>
        <v>98.180902540793511</v>
      </c>
      <c r="R230" s="31">
        <f>Datos!X104</f>
        <v>97.456233334043674</v>
      </c>
      <c r="S230" s="31">
        <f>Datos!Y104</f>
        <v>100.65860672068307</v>
      </c>
      <c r="T230" s="31">
        <f>Datos!Z104</f>
        <v>97.15032935074592</v>
      </c>
      <c r="U230" s="18">
        <v>5</v>
      </c>
      <c r="V230" s="14">
        <f t="shared" si="22"/>
        <v>98.401093499849011</v>
      </c>
    </row>
    <row r="231" spans="5:22" x14ac:dyDescent="0.2">
      <c r="F231" s="13">
        <v>3150</v>
      </c>
      <c r="G231" s="31">
        <f>Datos!Q105</f>
        <v>96.8</v>
      </c>
      <c r="H231" s="31">
        <f>Datos!R105</f>
        <v>94.20323471354547</v>
      </c>
      <c r="I231" s="31">
        <f>Datos!S105</f>
        <v>98.470690368709711</v>
      </c>
      <c r="J231" s="31">
        <f>Datos!T105</f>
        <v>94.373046882217977</v>
      </c>
      <c r="K231" s="31">
        <f>Datos!U105</f>
        <v>96.3</v>
      </c>
      <c r="L231" s="18">
        <v>5</v>
      </c>
      <c r="M231" s="14">
        <f t="shared" si="23"/>
        <v>96.325251787073427</v>
      </c>
      <c r="O231" s="13">
        <v>3150</v>
      </c>
      <c r="P231" s="31">
        <f>Datos!V105</f>
        <v>95.425948120233784</v>
      </c>
      <c r="Q231" s="31">
        <f>Datos!W105</f>
        <v>95</v>
      </c>
      <c r="R231" s="31">
        <f>Datos!X105</f>
        <v>95.5</v>
      </c>
      <c r="S231" s="31">
        <f>Datos!Y105</f>
        <v>98.701806532346012</v>
      </c>
      <c r="T231" s="31">
        <f>Datos!Z105</f>
        <v>95</v>
      </c>
      <c r="U231" s="18">
        <v>5</v>
      </c>
      <c r="V231" s="14">
        <f t="shared" si="22"/>
        <v>96.186133194757687</v>
      </c>
    </row>
    <row r="232" spans="5:22" x14ac:dyDescent="0.2">
      <c r="F232" s="13">
        <v>4000</v>
      </c>
      <c r="G232" s="31">
        <f>Datos!Q106</f>
        <v>91.8</v>
      </c>
      <c r="H232" s="31">
        <f>Datos!R106</f>
        <v>92.351475524902341</v>
      </c>
      <c r="I232" s="31">
        <f>Datos!S106</f>
        <v>95.691542539381444</v>
      </c>
      <c r="J232" s="31">
        <f>Datos!T106</f>
        <v>90.821057019193105</v>
      </c>
      <c r="K232" s="31">
        <f>Datos!U106</f>
        <v>94.686570934292021</v>
      </c>
      <c r="L232" s="18">
        <v>5</v>
      </c>
      <c r="M232" s="14">
        <f t="shared" si="23"/>
        <v>93.459765402377229</v>
      </c>
      <c r="O232" s="13">
        <v>4000</v>
      </c>
      <c r="P232" s="31">
        <f>Datos!V106</f>
        <v>91.955886279728261</v>
      </c>
      <c r="Q232" s="31">
        <f>Datos!W106</f>
        <v>91.331000073399551</v>
      </c>
      <c r="R232" s="31">
        <f>Datos!X106</f>
        <v>91.640230884588192</v>
      </c>
      <c r="S232" s="31">
        <f>Datos!Y106</f>
        <v>94.64424519400859</v>
      </c>
      <c r="T232" s="31">
        <f>Datos!Z106</f>
        <v>91.12201882676635</v>
      </c>
      <c r="U232" s="18">
        <v>5</v>
      </c>
      <c r="V232" s="14">
        <f t="shared" si="22"/>
        <v>92.352635181950475</v>
      </c>
    </row>
    <row r="233" spans="5:22" x14ac:dyDescent="0.2">
      <c r="F233" s="15">
        <v>5000</v>
      </c>
      <c r="G233" s="32">
        <f>Datos!Q107</f>
        <v>91.4</v>
      </c>
      <c r="H233" s="32">
        <f>Datos!R107</f>
        <v>91.104362502053519</v>
      </c>
      <c r="I233" s="32">
        <f>Datos!S107</f>
        <v>93.368185681507995</v>
      </c>
      <c r="J233" s="32">
        <f>Datos!T107</f>
        <v>89.240836577474113</v>
      </c>
      <c r="K233" s="32">
        <f>Datos!U107</f>
        <v>92.1</v>
      </c>
      <c r="L233" s="16">
        <v>5</v>
      </c>
      <c r="M233" s="17">
        <f t="shared" si="23"/>
        <v>91.645404552843758</v>
      </c>
      <c r="O233" s="15">
        <v>5000</v>
      </c>
      <c r="P233" s="32">
        <f>Datos!V107</f>
        <v>90.395335010721666</v>
      </c>
      <c r="Q233" s="32">
        <f>Datos!W107</f>
        <v>89.9</v>
      </c>
      <c r="R233" s="32">
        <f>Datos!X107</f>
        <v>90</v>
      </c>
      <c r="S233" s="32">
        <f>Datos!Y107</f>
        <v>93.017006404816158</v>
      </c>
      <c r="T233" s="32">
        <f>Datos!Z107</f>
        <v>90.6</v>
      </c>
      <c r="U233" s="16">
        <v>5</v>
      </c>
      <c r="V233" s="17">
        <f t="shared" si="22"/>
        <v>90.950844170620456</v>
      </c>
    </row>
    <row r="236" spans="5:22" x14ac:dyDescent="0.2">
      <c r="E236" t="s">
        <v>114</v>
      </c>
      <c r="F236" s="165" t="s">
        <v>61</v>
      </c>
      <c r="G236" s="166"/>
      <c r="H236" s="166"/>
      <c r="I236" s="166"/>
      <c r="J236" s="166"/>
      <c r="K236" s="166"/>
      <c r="L236" s="166"/>
      <c r="M236" s="167"/>
      <c r="O236" s="165" t="s">
        <v>61</v>
      </c>
      <c r="P236" s="166"/>
      <c r="Q236" s="166"/>
      <c r="R236" s="166"/>
      <c r="S236" s="166"/>
      <c r="T236" s="166"/>
      <c r="U236" s="166"/>
      <c r="V236" s="167"/>
    </row>
    <row r="237" spans="5:22" x14ac:dyDescent="0.2">
      <c r="F237" s="162" t="s">
        <v>25</v>
      </c>
      <c r="G237" s="163"/>
      <c r="H237" s="163"/>
      <c r="I237" s="163"/>
      <c r="J237" s="163"/>
      <c r="K237" s="163"/>
      <c r="L237" s="163"/>
      <c r="M237" s="164"/>
      <c r="O237" s="162" t="s">
        <v>28</v>
      </c>
      <c r="P237" s="163"/>
      <c r="Q237" s="163"/>
      <c r="R237" s="163"/>
      <c r="S237" s="163"/>
      <c r="T237" s="163"/>
      <c r="U237" s="163"/>
      <c r="V237" s="164"/>
    </row>
    <row r="238" spans="5:22" ht="34" x14ac:dyDescent="0.2">
      <c r="F238" s="9" t="s">
        <v>20</v>
      </c>
      <c r="G238" s="25" t="s">
        <v>64</v>
      </c>
      <c r="H238" s="25" t="s">
        <v>65</v>
      </c>
      <c r="I238" s="25" t="s">
        <v>66</v>
      </c>
      <c r="J238" s="25"/>
      <c r="K238" s="25"/>
      <c r="L238" s="11" t="s">
        <v>26</v>
      </c>
      <c r="M238" s="12" t="s">
        <v>27</v>
      </c>
      <c r="O238" s="9" t="s">
        <v>20</v>
      </c>
      <c r="P238" s="25" t="s">
        <v>69</v>
      </c>
      <c r="Q238" s="25" t="s">
        <v>70</v>
      </c>
      <c r="R238" s="25" t="s">
        <v>71</v>
      </c>
      <c r="S238" s="25" t="s">
        <v>72</v>
      </c>
      <c r="T238" s="25" t="s">
        <v>73</v>
      </c>
      <c r="U238" s="11" t="s">
        <v>26</v>
      </c>
      <c r="V238" s="12" t="s">
        <v>49</v>
      </c>
    </row>
    <row r="239" spans="5:22" x14ac:dyDescent="0.2">
      <c r="F239" s="13">
        <v>50</v>
      </c>
      <c r="G239" s="31">
        <f>Datos!Q113</f>
        <v>87.980913635483361</v>
      </c>
      <c r="H239" s="31">
        <f>Datos!R113</f>
        <v>69.773363505824335</v>
      </c>
      <c r="I239" s="31">
        <f>Datos!S113</f>
        <v>86.32098395931051</v>
      </c>
      <c r="J239" s="31"/>
      <c r="K239" s="31"/>
      <c r="L239" s="18">
        <v>3</v>
      </c>
      <c r="M239" s="14">
        <f>10*LOG10((10^($G239/10)+10^($H239/10)+10^($I239/10)+10^($J239/10)+10^($K239/10))/$L239)</f>
        <v>85.507694196324138</v>
      </c>
      <c r="O239" s="13">
        <v>50</v>
      </c>
      <c r="P239" s="31">
        <f>Datos!T113</f>
        <v>88.580837717225776</v>
      </c>
      <c r="Q239" s="31">
        <f>Datos!U113</f>
        <v>88.280875676354569</v>
      </c>
      <c r="R239" s="31">
        <f>Datos!V113</f>
        <v>86.555781080425632</v>
      </c>
      <c r="S239" s="31"/>
      <c r="T239" s="31"/>
      <c r="U239" s="18">
        <v>5</v>
      </c>
      <c r="V239" s="14">
        <f t="shared" ref="V239:V259" si="24">10*LOG10((10^(P239/10)+10^(Q239/10)+10^(R239/10)+10^(S239/10)+10^(T239/10))/U239)</f>
        <v>85.67453808320559</v>
      </c>
    </row>
    <row r="240" spans="5:22" x14ac:dyDescent="0.2">
      <c r="F240" s="13">
        <v>63</v>
      </c>
      <c r="G240" s="31">
        <f>Datos!Q114</f>
        <v>90.977529561609259</v>
      </c>
      <c r="H240" s="31">
        <f>Datos!R114</f>
        <v>82.514081730454734</v>
      </c>
      <c r="I240" s="31">
        <f>Datos!S114</f>
        <v>90.656280263506943</v>
      </c>
      <c r="J240" s="31"/>
      <c r="K240" s="31"/>
      <c r="L240" s="18">
        <v>3</v>
      </c>
      <c r="M240" s="14">
        <f t="shared" ref="M240:M259" si="25">10*LOG10((10^(G240/10)+10^(H240/10)+10^(I240/10)+10^(J240/10)+10^(K240/10))/L240)</f>
        <v>89.368425889162992</v>
      </c>
      <c r="O240" s="13">
        <v>63</v>
      </c>
      <c r="P240" s="31">
        <f>Datos!T114</f>
        <v>90.14233554022907</v>
      </c>
      <c r="Q240" s="31">
        <f>Datos!U114</f>
        <v>90.559932550919171</v>
      </c>
      <c r="R240" s="31">
        <f>Datos!V114</f>
        <v>90.393781812615217</v>
      </c>
      <c r="S240" s="31"/>
      <c r="T240" s="31"/>
      <c r="U240" s="18">
        <v>5</v>
      </c>
      <c r="V240" s="14">
        <f t="shared" si="24"/>
        <v>88.150243628796886</v>
      </c>
    </row>
    <row r="241" spans="6:22" x14ac:dyDescent="0.2">
      <c r="F241" s="13">
        <v>80</v>
      </c>
      <c r="G241" s="31">
        <f>Datos!Q115</f>
        <v>92.369244489454687</v>
      </c>
      <c r="H241" s="31">
        <f>Datos!R115</f>
        <v>91.177839923475346</v>
      </c>
      <c r="I241" s="31">
        <f>Datos!S115</f>
        <v>94.485681078300146</v>
      </c>
      <c r="J241" s="31"/>
      <c r="K241" s="31"/>
      <c r="L241" s="18">
        <v>3</v>
      </c>
      <c r="M241" s="14">
        <f t="shared" si="25"/>
        <v>92.897517428382926</v>
      </c>
      <c r="O241" s="13">
        <v>80</v>
      </c>
      <c r="P241" s="31">
        <f>Datos!T115</f>
        <v>89.608592148469469</v>
      </c>
      <c r="Q241" s="31">
        <f>Datos!U115</f>
        <v>90.988918318962078</v>
      </c>
      <c r="R241" s="31">
        <f>Datos!V115</f>
        <v>95.23819189679611</v>
      </c>
      <c r="S241" s="31"/>
      <c r="T241" s="31"/>
      <c r="U241" s="18">
        <v>5</v>
      </c>
      <c r="V241" s="14">
        <f t="shared" si="24"/>
        <v>90.421889611722179</v>
      </c>
    </row>
    <row r="242" spans="6:22" x14ac:dyDescent="0.2">
      <c r="F242" s="13">
        <v>100</v>
      </c>
      <c r="G242" s="31">
        <f>Datos!Q116</f>
        <v>90.73211324304566</v>
      </c>
      <c r="H242" s="31">
        <f>Datos!R116</f>
        <v>87.450091501628378</v>
      </c>
      <c r="I242" s="31">
        <f>Datos!S116</f>
        <v>83.974256593539081</v>
      </c>
      <c r="J242" s="31"/>
      <c r="K242" s="31"/>
      <c r="L242" s="18">
        <v>3</v>
      </c>
      <c r="M242" s="14">
        <f t="shared" si="25"/>
        <v>88.21565365167487</v>
      </c>
      <c r="O242" s="13">
        <v>100</v>
      </c>
      <c r="P242" s="31">
        <f>Datos!T116</f>
        <v>82.663077023455315</v>
      </c>
      <c r="Q242" s="31">
        <f>Datos!U116</f>
        <v>86.697595133250488</v>
      </c>
      <c r="R242" s="31">
        <f>Datos!V116</f>
        <v>85.933895637374277</v>
      </c>
      <c r="S242" s="31"/>
      <c r="T242" s="31"/>
      <c r="U242" s="18">
        <v>5</v>
      </c>
      <c r="V242" s="14">
        <f t="shared" si="24"/>
        <v>83.198144951798255</v>
      </c>
    </row>
    <row r="243" spans="6:22" x14ac:dyDescent="0.2">
      <c r="F243" s="13">
        <v>125</v>
      </c>
      <c r="G243" s="31">
        <f>Datos!Q117</f>
        <v>92.442844806757194</v>
      </c>
      <c r="H243" s="31">
        <f>Datos!R117</f>
        <v>89.292771875116813</v>
      </c>
      <c r="I243" s="31">
        <f>Datos!S117</f>
        <v>85</v>
      </c>
      <c r="J243" s="31"/>
      <c r="K243" s="31"/>
      <c r="L243" s="18">
        <v>3</v>
      </c>
      <c r="M243" s="14">
        <f t="shared" si="25"/>
        <v>89.884073502638429</v>
      </c>
      <c r="O243" s="13">
        <v>125</v>
      </c>
      <c r="P243" s="31">
        <f>Datos!T117</f>
        <v>86.347007722917056</v>
      </c>
      <c r="Q243" s="31">
        <f>Datos!U117</f>
        <v>89.394926264837125</v>
      </c>
      <c r="R243" s="31">
        <f>Datos!V117</f>
        <v>86.416556578834886</v>
      </c>
      <c r="S243" s="31"/>
      <c r="T243" s="31"/>
      <c r="U243" s="18">
        <v>5</v>
      </c>
      <c r="V243" s="14">
        <f t="shared" si="24"/>
        <v>85.41417392494678</v>
      </c>
    </row>
    <row r="244" spans="6:22" x14ac:dyDescent="0.2">
      <c r="F244" s="13">
        <v>160</v>
      </c>
      <c r="G244" s="31">
        <f>Datos!Q118</f>
        <v>99.545118095283215</v>
      </c>
      <c r="H244" s="31">
        <f>Datos!R118</f>
        <v>96.985328411485597</v>
      </c>
      <c r="I244" s="31">
        <f>Datos!S118</f>
        <v>96.495622789145202</v>
      </c>
      <c r="J244" s="31"/>
      <c r="K244" s="31"/>
      <c r="L244" s="18">
        <v>3</v>
      </c>
      <c r="M244" s="14">
        <f t="shared" si="25"/>
        <v>97.891783833953241</v>
      </c>
      <c r="O244" s="13">
        <v>160</v>
      </c>
      <c r="P244" s="31">
        <f>Datos!T118</f>
        <v>99.300112653826858</v>
      </c>
      <c r="Q244" s="31">
        <f>Datos!U118</f>
        <v>99.422615374555036</v>
      </c>
      <c r="R244" s="31">
        <f>Datos!V118</f>
        <v>100.86197477244514</v>
      </c>
      <c r="S244" s="31"/>
      <c r="T244" s="31"/>
      <c r="U244" s="18">
        <v>5</v>
      </c>
      <c r="V244" s="14">
        <f t="shared" si="24"/>
        <v>97.702944299164898</v>
      </c>
    </row>
    <row r="245" spans="6:22" x14ac:dyDescent="0.2">
      <c r="F245" s="13">
        <v>200</v>
      </c>
      <c r="G245" s="31">
        <f>Datos!Q119</f>
        <v>107.2282868578918</v>
      </c>
      <c r="H245" s="31">
        <f>Datos!R119</f>
        <v>101</v>
      </c>
      <c r="I245" s="31">
        <f>Datos!S119</f>
        <v>97</v>
      </c>
      <c r="J245" s="31"/>
      <c r="K245" s="31"/>
      <c r="L245" s="18">
        <v>3</v>
      </c>
      <c r="M245" s="14">
        <f t="shared" si="25"/>
        <v>103.70604431717724</v>
      </c>
      <c r="O245" s="13">
        <v>200</v>
      </c>
      <c r="P245" s="31">
        <f>Datos!T119</f>
        <v>103.11973244191554</v>
      </c>
      <c r="Q245" s="31">
        <f>Datos!U119</f>
        <v>105.17400964990367</v>
      </c>
      <c r="R245" s="31">
        <f>Datos!V119</f>
        <v>99.540568205654679</v>
      </c>
      <c r="S245" s="31"/>
      <c r="T245" s="31"/>
      <c r="U245" s="18">
        <v>5</v>
      </c>
      <c r="V245" s="14">
        <f t="shared" si="24"/>
        <v>100.96368018934197</v>
      </c>
    </row>
    <row r="246" spans="6:22" x14ac:dyDescent="0.2">
      <c r="F246" s="13">
        <v>250</v>
      </c>
      <c r="G246" s="31">
        <f>Datos!Q120</f>
        <v>106.92322936810945</v>
      </c>
      <c r="H246" s="31">
        <f>Datos!R120</f>
        <v>103.1653101067794</v>
      </c>
      <c r="I246" s="31">
        <f>Datos!S120</f>
        <v>101.55784447957627</v>
      </c>
      <c r="J246" s="31"/>
      <c r="K246" s="31"/>
      <c r="L246" s="18">
        <v>3</v>
      </c>
      <c r="M246" s="14">
        <f t="shared" si="25"/>
        <v>104.48613926789392</v>
      </c>
      <c r="O246" s="13">
        <v>250</v>
      </c>
      <c r="P246" s="31">
        <f>Datos!T120</f>
        <v>106.91698425121682</v>
      </c>
      <c r="Q246" s="31">
        <f>Datos!U120</f>
        <v>106.92010680966314</v>
      </c>
      <c r="R246" s="31">
        <f>Datos!V120</f>
        <v>103.68640765363438</v>
      </c>
      <c r="S246" s="31"/>
      <c r="T246" s="31"/>
      <c r="U246" s="18">
        <v>5</v>
      </c>
      <c r="V246" s="14">
        <f t="shared" si="24"/>
        <v>103.86477548427101</v>
      </c>
    </row>
    <row r="247" spans="6:22" x14ac:dyDescent="0.2">
      <c r="F247" s="13">
        <v>315</v>
      </c>
      <c r="G247" s="31">
        <f>Datos!Q121</f>
        <v>105.36603185467254</v>
      </c>
      <c r="H247" s="31">
        <f>Datos!R121</f>
        <v>103.24908775804145</v>
      </c>
      <c r="I247" s="31">
        <f>Datos!S121</f>
        <v>99.490227732853484</v>
      </c>
      <c r="J247" s="31"/>
      <c r="K247" s="31"/>
      <c r="L247" s="18">
        <v>3</v>
      </c>
      <c r="M247" s="14">
        <f t="shared" si="25"/>
        <v>103.31943102926914</v>
      </c>
      <c r="O247" s="13">
        <v>315</v>
      </c>
      <c r="P247" s="31">
        <f>Datos!T121</f>
        <v>104.075606607521</v>
      </c>
      <c r="Q247" s="31">
        <f>Datos!U121</f>
        <v>104.72081923109677</v>
      </c>
      <c r="R247" s="31">
        <f>Datos!V121</f>
        <v>102.56141022338286</v>
      </c>
      <c r="S247" s="31"/>
      <c r="T247" s="31"/>
      <c r="U247" s="18">
        <v>5</v>
      </c>
      <c r="V247" s="14">
        <f t="shared" si="24"/>
        <v>101.65837204149311</v>
      </c>
    </row>
    <row r="248" spans="6:22" x14ac:dyDescent="0.2">
      <c r="F248" s="13">
        <v>400</v>
      </c>
      <c r="G248" s="31">
        <f>Datos!Q122</f>
        <v>109.1</v>
      </c>
      <c r="H248" s="31">
        <f>Datos!R122</f>
        <v>103.50771377052416</v>
      </c>
      <c r="I248" s="31">
        <f>Datos!S122</f>
        <v>104.298273473099</v>
      </c>
      <c r="J248" s="31"/>
      <c r="K248" s="31"/>
      <c r="L248" s="18">
        <v>3</v>
      </c>
      <c r="M248" s="14">
        <f t="shared" si="25"/>
        <v>106.38870841350302</v>
      </c>
      <c r="O248" s="13">
        <v>400</v>
      </c>
      <c r="P248" s="31">
        <f>Datos!T122</f>
        <v>102.88817041894896</v>
      </c>
      <c r="Q248" s="31">
        <f>Datos!U122</f>
        <v>106.43968519997503</v>
      </c>
      <c r="R248" s="31">
        <f>Datos!V122</f>
        <v>103.35808281576372</v>
      </c>
      <c r="S248" s="31"/>
      <c r="T248" s="31"/>
      <c r="U248" s="18">
        <v>5</v>
      </c>
      <c r="V248" s="14">
        <f t="shared" si="24"/>
        <v>102.31292034531306</v>
      </c>
    </row>
    <row r="249" spans="6:22" x14ac:dyDescent="0.2">
      <c r="F249" s="13">
        <v>500</v>
      </c>
      <c r="G249" s="31">
        <f>Datos!Q123</f>
        <v>102.8</v>
      </c>
      <c r="H249" s="31">
        <f>Datos!R123</f>
        <v>105.1</v>
      </c>
      <c r="I249" s="31">
        <f>Datos!S123</f>
        <v>104.4</v>
      </c>
      <c r="J249" s="31"/>
      <c r="K249" s="31"/>
      <c r="L249" s="18">
        <v>3</v>
      </c>
      <c r="M249" s="14">
        <f t="shared" si="25"/>
        <v>104.20265313262617</v>
      </c>
      <c r="O249" s="13">
        <v>500</v>
      </c>
      <c r="P249" s="31">
        <f>Datos!T123</f>
        <v>104.01217818371708</v>
      </c>
      <c r="Q249" s="31">
        <f>Datos!U123</f>
        <v>103.39821109881265</v>
      </c>
      <c r="R249" s="31">
        <f>Datos!V123</f>
        <v>101.39967217703982</v>
      </c>
      <c r="S249" s="31"/>
      <c r="T249" s="31"/>
      <c r="U249" s="18">
        <v>5</v>
      </c>
      <c r="V249" s="14">
        <f t="shared" si="24"/>
        <v>100.8536770198219</v>
      </c>
    </row>
    <row r="250" spans="6:22" x14ac:dyDescent="0.2">
      <c r="F250" s="13">
        <v>630</v>
      </c>
      <c r="G250" s="31">
        <f>Datos!Q124</f>
        <v>105.7688500612302</v>
      </c>
      <c r="H250" s="31">
        <f>Datos!R124</f>
        <v>102.77670731977983</v>
      </c>
      <c r="I250" s="31">
        <f>Datos!S124</f>
        <v>99.917388872460563</v>
      </c>
      <c r="J250" s="31"/>
      <c r="K250" s="31"/>
      <c r="L250" s="18">
        <v>3</v>
      </c>
      <c r="M250" s="14">
        <f t="shared" si="25"/>
        <v>103.45775396175844</v>
      </c>
      <c r="O250" s="13">
        <v>630</v>
      </c>
      <c r="P250" s="31">
        <f>Datos!T124</f>
        <v>103.58723338370685</v>
      </c>
      <c r="Q250" s="31">
        <f>Datos!U124</f>
        <v>104.67804172246852</v>
      </c>
      <c r="R250" s="31">
        <f>Datos!V124</f>
        <v>103.32793961514982</v>
      </c>
      <c r="S250" s="31"/>
      <c r="T250" s="31"/>
      <c r="U250" s="18">
        <v>5</v>
      </c>
      <c r="V250" s="14">
        <f t="shared" si="24"/>
        <v>101.68628827010707</v>
      </c>
    </row>
    <row r="251" spans="6:22" x14ac:dyDescent="0.2">
      <c r="F251" s="13">
        <v>800</v>
      </c>
      <c r="G251" s="31">
        <f>Datos!Q125</f>
        <v>104.92402591561913</v>
      </c>
      <c r="H251" s="31">
        <f>Datos!R125</f>
        <v>99.7</v>
      </c>
      <c r="I251" s="31">
        <f>Datos!S125</f>
        <v>101.2015238289148</v>
      </c>
      <c r="J251" s="31"/>
      <c r="K251" s="31"/>
      <c r="L251" s="18">
        <v>3</v>
      </c>
      <c r="M251" s="14">
        <f t="shared" si="25"/>
        <v>102.51995931485972</v>
      </c>
      <c r="O251" s="13">
        <v>800</v>
      </c>
      <c r="P251" s="31">
        <f>Datos!T125</f>
        <v>103.90996777041144</v>
      </c>
      <c r="Q251" s="31">
        <f>Datos!U125</f>
        <v>104.41699684301528</v>
      </c>
      <c r="R251" s="31">
        <f>Datos!V125</f>
        <v>101.54321770345904</v>
      </c>
      <c r="S251" s="31"/>
      <c r="T251" s="31"/>
      <c r="U251" s="18">
        <v>5</v>
      </c>
      <c r="V251" s="14">
        <f t="shared" si="24"/>
        <v>101.2398501278511</v>
      </c>
    </row>
    <row r="252" spans="6:22" x14ac:dyDescent="0.2">
      <c r="F252" s="13">
        <v>1000</v>
      </c>
      <c r="G252" s="31">
        <f>Datos!Q126</f>
        <v>100.1</v>
      </c>
      <c r="H252" s="31">
        <f>Datos!R126</f>
        <v>100.17212704745207</v>
      </c>
      <c r="I252" s="31">
        <f>Datos!S126</f>
        <v>99.492687272526439</v>
      </c>
      <c r="J252" s="31"/>
      <c r="K252" s="31"/>
      <c r="L252" s="18">
        <v>3</v>
      </c>
      <c r="M252" s="14">
        <f t="shared" si="25"/>
        <v>99.93211912357873</v>
      </c>
      <c r="O252" s="13">
        <v>1000</v>
      </c>
      <c r="P252" s="31">
        <f>Datos!T126</f>
        <v>100.39587637862945</v>
      </c>
      <c r="Q252" s="31">
        <f>Datos!U126</f>
        <v>100.34638628370422</v>
      </c>
      <c r="R252" s="31">
        <f>Datos!V126</f>
        <v>100.78417875106622</v>
      </c>
      <c r="S252" s="31"/>
      <c r="T252" s="31"/>
      <c r="U252" s="18">
        <v>5</v>
      </c>
      <c r="V252" s="14">
        <f t="shared" si="24"/>
        <v>98.294781674599307</v>
      </c>
    </row>
    <row r="253" spans="6:22" x14ac:dyDescent="0.2">
      <c r="F253" s="13">
        <v>1250</v>
      </c>
      <c r="G253" s="31">
        <f>Datos!Q127</f>
        <v>99.003216255876353</v>
      </c>
      <c r="H253" s="31">
        <f>Datos!R127</f>
        <v>98.458214163894283</v>
      </c>
      <c r="I253" s="31">
        <f>Datos!S127</f>
        <v>98.852766441686398</v>
      </c>
      <c r="J253" s="31"/>
      <c r="K253" s="31"/>
      <c r="L253" s="18">
        <v>3</v>
      </c>
      <c r="M253" s="14">
        <f t="shared" si="25"/>
        <v>98.777425218647778</v>
      </c>
      <c r="O253" s="13">
        <v>1250</v>
      </c>
      <c r="P253" s="31">
        <f>Datos!T127</f>
        <v>98.561943775030699</v>
      </c>
      <c r="Q253" s="31">
        <f>Datos!U127</f>
        <v>98.782580015453533</v>
      </c>
      <c r="R253" s="31">
        <f>Datos!V127</f>
        <v>102.0438783538557</v>
      </c>
      <c r="S253" s="31"/>
      <c r="T253" s="31"/>
      <c r="U253" s="18">
        <v>5</v>
      </c>
      <c r="V253" s="14">
        <f t="shared" si="24"/>
        <v>97.888247878536873</v>
      </c>
    </row>
    <row r="254" spans="6:22" x14ac:dyDescent="0.2">
      <c r="F254" s="13">
        <v>1600</v>
      </c>
      <c r="G254" s="31">
        <f>Datos!Q128</f>
        <v>98.682000203240193</v>
      </c>
      <c r="H254" s="31">
        <f>Datos!R128</f>
        <v>98.5</v>
      </c>
      <c r="I254" s="31">
        <f>Datos!S128</f>
        <v>97.814981934232563</v>
      </c>
      <c r="J254" s="31"/>
      <c r="K254" s="31"/>
      <c r="L254" s="18">
        <v>3</v>
      </c>
      <c r="M254" s="14">
        <f t="shared" si="25"/>
        <v>98.348087842327686</v>
      </c>
      <c r="O254" s="13">
        <v>1600</v>
      </c>
      <c r="P254" s="31">
        <f>Datos!T128</f>
        <v>99.178125079933793</v>
      </c>
      <c r="Q254" s="31">
        <f>Datos!U128</f>
        <v>98.930062641587</v>
      </c>
      <c r="R254" s="31">
        <f>Datos!V128</f>
        <v>98.503328325179055</v>
      </c>
      <c r="S254" s="31"/>
      <c r="T254" s="31"/>
      <c r="U254" s="18">
        <v>5</v>
      </c>
      <c r="V254" s="14">
        <f t="shared" si="24"/>
        <v>96.660895452098202</v>
      </c>
    </row>
    <row r="255" spans="6:22" x14ac:dyDescent="0.2">
      <c r="F255" s="13">
        <v>2000</v>
      </c>
      <c r="G255" s="31">
        <f>Datos!Q129</f>
        <v>99</v>
      </c>
      <c r="H255" s="31">
        <f>Datos!R129</f>
        <v>97.724535548744015</v>
      </c>
      <c r="I255" s="31">
        <f>Datos!S129</f>
        <v>97.594419629998029</v>
      </c>
      <c r="J255" s="31"/>
      <c r="K255" s="31"/>
      <c r="L255" s="18">
        <v>3</v>
      </c>
      <c r="M255" s="14">
        <f t="shared" si="25"/>
        <v>98.15402623259159</v>
      </c>
      <c r="O255" s="13">
        <v>2000</v>
      </c>
      <c r="P255" s="31">
        <f>Datos!T129</f>
        <v>98.396718937844398</v>
      </c>
      <c r="Q255" s="31">
        <f>Datos!U129</f>
        <v>98.575035522851351</v>
      </c>
      <c r="R255" s="31">
        <f>Datos!V129</f>
        <v>96.452286049709443</v>
      </c>
      <c r="S255" s="31"/>
      <c r="T255" s="31"/>
      <c r="U255" s="18">
        <v>5</v>
      </c>
      <c r="V255" s="14">
        <f t="shared" si="24"/>
        <v>95.689980018504897</v>
      </c>
    </row>
    <row r="256" spans="6:22" x14ac:dyDescent="0.2">
      <c r="F256" s="13">
        <v>2500</v>
      </c>
      <c r="G256" s="31">
        <f>Datos!Q130</f>
        <v>100.78932798715462</v>
      </c>
      <c r="H256" s="31">
        <f>Datos!R130</f>
        <v>98.187275892923893</v>
      </c>
      <c r="I256" s="31">
        <f>Datos!S130</f>
        <v>99.094359081206605</v>
      </c>
      <c r="J256" s="31"/>
      <c r="K256" s="31"/>
      <c r="L256" s="18">
        <v>3</v>
      </c>
      <c r="M256" s="14">
        <f t="shared" si="25"/>
        <v>99.493655603358647</v>
      </c>
      <c r="O256" s="13">
        <v>2500</v>
      </c>
      <c r="P256" s="31">
        <f>Datos!T130</f>
        <v>99.742124587827135</v>
      </c>
      <c r="Q256" s="31">
        <f>Datos!U130</f>
        <v>100.26572628749088</v>
      </c>
      <c r="R256" s="31">
        <f>Datos!V130</f>
        <v>100.09747297757019</v>
      </c>
      <c r="S256" s="31"/>
      <c r="T256" s="31"/>
      <c r="U256" s="18">
        <v>5</v>
      </c>
      <c r="V256" s="14">
        <f t="shared" si="24"/>
        <v>97.822066030912453</v>
      </c>
    </row>
    <row r="257" spans="6:22" x14ac:dyDescent="0.2">
      <c r="F257" s="13">
        <v>3150</v>
      </c>
      <c r="G257" s="31">
        <f>Datos!Q131</f>
        <v>98.6</v>
      </c>
      <c r="H257" s="31">
        <f>Datos!R131</f>
        <v>97.1</v>
      </c>
      <c r="I257" s="31">
        <f>Datos!S131</f>
        <v>97.103584768656432</v>
      </c>
      <c r="J257" s="31"/>
      <c r="K257" s="31"/>
      <c r="L257" s="18">
        <v>3</v>
      </c>
      <c r="M257" s="14">
        <f t="shared" si="25"/>
        <v>97.66061261161542</v>
      </c>
      <c r="O257" s="13">
        <v>3150</v>
      </c>
      <c r="P257" s="31">
        <f>Datos!T131</f>
        <v>97.863061003867884</v>
      </c>
      <c r="Q257" s="31">
        <f>Datos!U131</f>
        <v>98.16687568628879</v>
      </c>
      <c r="R257" s="31">
        <f>Datos!V131</f>
        <v>96.438454574454298</v>
      </c>
      <c r="S257" s="31"/>
      <c r="T257" s="31"/>
      <c r="U257" s="18">
        <v>5</v>
      </c>
      <c r="V257" s="14">
        <f t="shared" si="24"/>
        <v>95.333765429837044</v>
      </c>
    </row>
    <row r="258" spans="6:22" x14ac:dyDescent="0.2">
      <c r="F258" s="13">
        <v>4000</v>
      </c>
      <c r="G258" s="31">
        <f>Datos!Q132</f>
        <v>95.691542539381444</v>
      </c>
      <c r="H258" s="31">
        <f>Datos!R132</f>
        <v>93.207997124046798</v>
      </c>
      <c r="I258" s="31">
        <f>Datos!S132</f>
        <v>92.94559636283897</v>
      </c>
      <c r="J258" s="31"/>
      <c r="K258" s="31"/>
      <c r="L258" s="18">
        <v>3</v>
      </c>
      <c r="M258" s="14">
        <f t="shared" si="25"/>
        <v>94.133944784530968</v>
      </c>
      <c r="O258" s="13">
        <v>4000</v>
      </c>
      <c r="P258" s="31">
        <f>Datos!T132</f>
        <v>94.296003621799912</v>
      </c>
      <c r="Q258" s="31">
        <f>Datos!U132</f>
        <v>94.993773080590671</v>
      </c>
      <c r="R258" s="31">
        <f>Datos!V132</f>
        <v>94.686570934292021</v>
      </c>
      <c r="S258" s="31"/>
      <c r="T258" s="31"/>
      <c r="U258" s="18">
        <v>5</v>
      </c>
      <c r="V258" s="14">
        <f t="shared" si="24"/>
        <v>92.449647038723185</v>
      </c>
    </row>
    <row r="259" spans="6:22" x14ac:dyDescent="0.2">
      <c r="F259" s="15">
        <v>5000</v>
      </c>
      <c r="G259" s="32">
        <f>Datos!Q133</f>
        <v>94.5</v>
      </c>
      <c r="H259" s="32">
        <f>Datos!R133</f>
        <v>91.89495202023447</v>
      </c>
      <c r="I259" s="32">
        <f>Datos!S133</f>
        <v>91.533914328302004</v>
      </c>
      <c r="J259" s="32"/>
      <c r="K259" s="32"/>
      <c r="L259" s="16">
        <v>3</v>
      </c>
      <c r="M259" s="17">
        <f t="shared" si="25"/>
        <v>92.854831700769893</v>
      </c>
      <c r="O259" s="15">
        <v>5000</v>
      </c>
      <c r="P259" s="32">
        <f>Datos!T133</f>
        <v>93.380406178973118</v>
      </c>
      <c r="Q259" s="32">
        <f>Datos!U133</f>
        <v>93.37429593024055</v>
      </c>
      <c r="R259" s="32">
        <f>Datos!V133</f>
        <v>92.640858825335158</v>
      </c>
      <c r="S259" s="32"/>
      <c r="T259" s="32"/>
      <c r="U259" s="16">
        <v>5</v>
      </c>
      <c r="V259" s="17">
        <f t="shared" si="24"/>
        <v>90.926972410941517</v>
      </c>
    </row>
  </sheetData>
  <mergeCells count="52">
    <mergeCell ref="F236:M236"/>
    <mergeCell ref="O236:V236"/>
    <mergeCell ref="F237:M237"/>
    <mergeCell ref="O237:V237"/>
    <mergeCell ref="F185:M185"/>
    <mergeCell ref="O185:V185"/>
    <mergeCell ref="F210:M210"/>
    <mergeCell ref="O210:V210"/>
    <mergeCell ref="F211:M211"/>
    <mergeCell ref="O211:V211"/>
    <mergeCell ref="F159:M159"/>
    <mergeCell ref="O159:V159"/>
    <mergeCell ref="F160:M160"/>
    <mergeCell ref="O160:V160"/>
    <mergeCell ref="F184:M184"/>
    <mergeCell ref="O184:V184"/>
    <mergeCell ref="B3:C3"/>
    <mergeCell ref="B29:C29"/>
    <mergeCell ref="B30:C30"/>
    <mergeCell ref="B55:C55"/>
    <mergeCell ref="B56:C56"/>
    <mergeCell ref="B4:C4"/>
    <mergeCell ref="O55:V55"/>
    <mergeCell ref="F30:M30"/>
    <mergeCell ref="O30:V30"/>
    <mergeCell ref="F133:M133"/>
    <mergeCell ref="O133:V133"/>
    <mergeCell ref="F108:M108"/>
    <mergeCell ref="O108:V108"/>
    <mergeCell ref="F56:M56"/>
    <mergeCell ref="O56:V56"/>
    <mergeCell ref="F82:M82"/>
    <mergeCell ref="O82:V82"/>
    <mergeCell ref="F81:M81"/>
    <mergeCell ref="F107:M107"/>
    <mergeCell ref="O107:V107"/>
    <mergeCell ref="F55:M55"/>
    <mergeCell ref="F4:M4"/>
    <mergeCell ref="O4:V4"/>
    <mergeCell ref="F29:M29"/>
    <mergeCell ref="O29:V29"/>
    <mergeCell ref="F3:M3"/>
    <mergeCell ref="O3:V3"/>
    <mergeCell ref="B133:C133"/>
    <mergeCell ref="B134:C134"/>
    <mergeCell ref="O81:V81"/>
    <mergeCell ref="F134:M134"/>
    <mergeCell ref="O134:V134"/>
    <mergeCell ref="B81:C81"/>
    <mergeCell ref="B82:C82"/>
    <mergeCell ref="B107:C107"/>
    <mergeCell ref="B108:C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6048-6517-2E42-8149-8998C368CACC}">
  <dimension ref="B2:O130"/>
  <sheetViews>
    <sheetView topLeftCell="A2" zoomScale="125" zoomScaleNormal="40" workbookViewId="0">
      <selection activeCell="B4" sqref="B4:G4"/>
    </sheetView>
  </sheetViews>
  <sheetFormatPr baseColWidth="10" defaultRowHeight="16" x14ac:dyDescent="0.2"/>
  <cols>
    <col min="8" max="8" width="3.1640625" customWidth="1"/>
    <col min="11" max="11" width="11.5" bestFit="1" customWidth="1"/>
    <col min="15" max="15" width="4.83203125" customWidth="1"/>
  </cols>
  <sheetData>
    <row r="2" spans="2:15" x14ac:dyDescent="0.2">
      <c r="B2" s="165" t="s">
        <v>42</v>
      </c>
      <c r="C2" s="166"/>
      <c r="D2" s="166"/>
      <c r="E2" s="166"/>
      <c r="F2" s="166"/>
      <c r="G2" s="167"/>
      <c r="I2" s="165" t="s">
        <v>42</v>
      </c>
      <c r="J2" s="166"/>
      <c r="K2" s="166"/>
      <c r="L2" s="166"/>
      <c r="M2" s="166"/>
      <c r="N2" s="167"/>
    </row>
    <row r="3" spans="2:15" x14ac:dyDescent="0.2">
      <c r="B3" s="162" t="s">
        <v>25</v>
      </c>
      <c r="C3" s="163"/>
      <c r="D3" s="163"/>
      <c r="E3" s="163"/>
      <c r="F3" s="163"/>
      <c r="G3" s="164"/>
      <c r="H3" s="2"/>
      <c r="I3" s="162" t="s">
        <v>28</v>
      </c>
      <c r="J3" s="163"/>
      <c r="K3" s="163"/>
      <c r="L3" s="163"/>
      <c r="M3" s="163"/>
      <c r="N3" s="164"/>
      <c r="O3" s="2"/>
    </row>
    <row r="4" spans="2:15" ht="34" x14ac:dyDescent="0.2">
      <c r="B4" s="9" t="s">
        <v>125</v>
      </c>
      <c r="C4" s="11"/>
      <c r="D4" s="10"/>
      <c r="E4" s="21" t="s">
        <v>48</v>
      </c>
      <c r="F4" s="22"/>
      <c r="G4" s="12"/>
      <c r="H4" s="2"/>
      <c r="I4" s="9" t="s">
        <v>125</v>
      </c>
      <c r="J4" s="11"/>
      <c r="K4" s="10"/>
      <c r="L4" s="21" t="s">
        <v>48</v>
      </c>
      <c r="M4" s="22"/>
      <c r="N4" s="12"/>
      <c r="O4" s="2"/>
    </row>
    <row r="5" spans="2:15" x14ac:dyDescent="0.2">
      <c r="B5" s="13">
        <v>50</v>
      </c>
      <c r="C5" s="33">
        <f>'1º Alta Frec'!M6</f>
        <v>61.047693842712036</v>
      </c>
      <c r="D5" s="33">
        <f>ROUND(Datos!D139,1)</f>
        <v>28.1</v>
      </c>
      <c r="E5" s="34">
        <f t="shared" ref="E5:E25" si="0">C5-D5</f>
        <v>32.947693842712034</v>
      </c>
      <c r="F5" s="33">
        <f>ROUND(C5,1)</f>
        <v>61</v>
      </c>
      <c r="G5" s="14">
        <f t="shared" ref="G5:G25" si="1">IF(E5&lt;=6,C5-1.3,IF(E5&gt;10,C5,10*LOG10(10^(F5/10)-10^(D5/10))))</f>
        <v>61.047693842712036</v>
      </c>
      <c r="H5" s="2"/>
      <c r="I5" s="13">
        <v>50</v>
      </c>
      <c r="J5" s="33">
        <f>'1º Alta Frec'!V6</f>
        <v>57.819293694056348</v>
      </c>
      <c r="K5" s="33">
        <f>ROUND(Datos!D139,1)</f>
        <v>28.1</v>
      </c>
      <c r="L5" s="34">
        <f t="shared" ref="L5:L25" si="2">J5-K5</f>
        <v>29.719293694056347</v>
      </c>
      <c r="M5" s="33">
        <f>ROUND(J5,1)</f>
        <v>57.8</v>
      </c>
      <c r="N5" s="14">
        <f>IF(L5&lt;=6,J5-1.3,IF(L5&gt;10,J5,10*LOG10(10^(M5/10)-10^(K5/10))))</f>
        <v>57.819293694056348</v>
      </c>
      <c r="O5" s="2"/>
    </row>
    <row r="6" spans="2:15" x14ac:dyDescent="0.2">
      <c r="B6" s="13">
        <v>63</v>
      </c>
      <c r="C6" s="33">
        <f>'1º Alta Frec'!M7</f>
        <v>50.885519777909884</v>
      </c>
      <c r="D6" s="33">
        <f>ROUND(Datos!D140,1)</f>
        <v>24.1</v>
      </c>
      <c r="E6" s="34">
        <f t="shared" si="0"/>
        <v>26.785519777909883</v>
      </c>
      <c r="F6" s="33">
        <f t="shared" ref="F6:F25" si="3">ROUND(C6,1)</f>
        <v>50.9</v>
      </c>
      <c r="G6" s="14">
        <f t="shared" si="1"/>
        <v>50.885519777909884</v>
      </c>
      <c r="H6" s="2"/>
      <c r="I6" s="13">
        <v>63</v>
      </c>
      <c r="J6" s="33">
        <f>'1º Alta Frec'!V7</f>
        <v>41.74630326110681</v>
      </c>
      <c r="K6" s="33">
        <f>ROUND(Datos!D140,1)</f>
        <v>24.1</v>
      </c>
      <c r="L6" s="34">
        <f t="shared" si="2"/>
        <v>17.646303261106809</v>
      </c>
      <c r="M6" s="33">
        <f t="shared" ref="M6:M25" si="4">ROUND(J6,1)</f>
        <v>41.7</v>
      </c>
      <c r="N6" s="14">
        <f t="shared" ref="N6:N25" si="5">IF(L6&lt;=6,J6-1.3,IF(L6&gt;10,J6,10*LOG10(10^(M6/10)-10^(K6/10))))</f>
        <v>41.74630326110681</v>
      </c>
      <c r="O6" s="2"/>
    </row>
    <row r="7" spans="2:15" x14ac:dyDescent="0.2">
      <c r="B7" s="13">
        <v>80</v>
      </c>
      <c r="C7" s="33">
        <f>'1º Alta Frec'!M8</f>
        <v>59.984939944526715</v>
      </c>
      <c r="D7" s="33">
        <f>ROUND(Datos!D141,1)</f>
        <v>22.9</v>
      </c>
      <c r="E7" s="34">
        <f t="shared" si="0"/>
        <v>37.084939944526717</v>
      </c>
      <c r="F7" s="33">
        <f t="shared" si="3"/>
        <v>60</v>
      </c>
      <c r="G7" s="14">
        <f t="shared" si="1"/>
        <v>59.984939944526715</v>
      </c>
      <c r="H7" s="2"/>
      <c r="I7" s="13">
        <v>80</v>
      </c>
      <c r="J7" s="33">
        <f>'1º Alta Frec'!V8</f>
        <v>48.447225396398785</v>
      </c>
      <c r="K7" s="33">
        <f>ROUND(Datos!D141,1)</f>
        <v>22.9</v>
      </c>
      <c r="L7" s="34">
        <f t="shared" si="2"/>
        <v>25.547225396398787</v>
      </c>
      <c r="M7" s="33">
        <f t="shared" si="4"/>
        <v>48.4</v>
      </c>
      <c r="N7" s="14">
        <f t="shared" si="5"/>
        <v>48.447225396398785</v>
      </c>
      <c r="O7" s="2"/>
    </row>
    <row r="8" spans="2:15" x14ac:dyDescent="0.2">
      <c r="B8" s="13">
        <v>100</v>
      </c>
      <c r="C8" s="33">
        <f>'1º Alta Frec'!M9</f>
        <v>53.926802800208591</v>
      </c>
      <c r="D8" s="33">
        <f>ROUND(Datos!D142,1)</f>
        <v>22.4</v>
      </c>
      <c r="E8" s="34">
        <f t="shared" si="0"/>
        <v>31.526802800208593</v>
      </c>
      <c r="F8" s="33">
        <f t="shared" si="3"/>
        <v>53.9</v>
      </c>
      <c r="G8" s="14">
        <f t="shared" si="1"/>
        <v>53.926802800208591</v>
      </c>
      <c r="H8" s="2"/>
      <c r="I8" s="13">
        <v>100</v>
      </c>
      <c r="J8" s="33">
        <f>'1º Alta Frec'!V9</f>
        <v>47.59301708974489</v>
      </c>
      <c r="K8" s="33">
        <f>ROUND(Datos!D142,1)</f>
        <v>22.4</v>
      </c>
      <c r="L8" s="34">
        <f t="shared" si="2"/>
        <v>25.193017089744892</v>
      </c>
      <c r="M8" s="33">
        <f t="shared" si="4"/>
        <v>47.6</v>
      </c>
      <c r="N8" s="14">
        <f t="shared" si="5"/>
        <v>47.59301708974489</v>
      </c>
      <c r="O8" s="2"/>
    </row>
    <row r="9" spans="2:15" x14ac:dyDescent="0.2">
      <c r="B9" s="13">
        <v>125</v>
      </c>
      <c r="C9" s="33">
        <f>'1º Alta Frec'!M10</f>
        <v>58.814238149878832</v>
      </c>
      <c r="D9" s="33">
        <f>ROUND(Datos!D143,1)</f>
        <v>19.5</v>
      </c>
      <c r="E9" s="34">
        <f t="shared" si="0"/>
        <v>39.314238149878832</v>
      </c>
      <c r="F9" s="33">
        <f t="shared" si="3"/>
        <v>58.8</v>
      </c>
      <c r="G9" s="14">
        <f t="shared" si="1"/>
        <v>58.814238149878832</v>
      </c>
      <c r="H9" s="2"/>
      <c r="I9" s="13">
        <v>125</v>
      </c>
      <c r="J9" s="33">
        <f>'1º Alta Frec'!V10</f>
        <v>57.520409291511918</v>
      </c>
      <c r="K9" s="33">
        <f>ROUND(Datos!D143,1)</f>
        <v>19.5</v>
      </c>
      <c r="L9" s="34">
        <f t="shared" si="2"/>
        <v>38.020409291511918</v>
      </c>
      <c r="M9" s="33">
        <f t="shared" si="4"/>
        <v>57.5</v>
      </c>
      <c r="N9" s="14">
        <f t="shared" si="5"/>
        <v>57.520409291511918</v>
      </c>
      <c r="O9" s="2"/>
    </row>
    <row r="10" spans="2:15" x14ac:dyDescent="0.2">
      <c r="B10" s="13">
        <v>160</v>
      </c>
      <c r="C10" s="33">
        <f>'1º Alta Frec'!M11</f>
        <v>59.808364517411682</v>
      </c>
      <c r="D10" s="33">
        <f>ROUND(Datos!D144,1)</f>
        <v>23.5</v>
      </c>
      <c r="E10" s="34">
        <f t="shared" si="0"/>
        <v>36.308364517411682</v>
      </c>
      <c r="F10" s="33">
        <f t="shared" si="3"/>
        <v>59.8</v>
      </c>
      <c r="G10" s="14">
        <f t="shared" si="1"/>
        <v>59.808364517411682</v>
      </c>
      <c r="H10" s="2"/>
      <c r="I10" s="13">
        <v>160</v>
      </c>
      <c r="J10" s="33">
        <f>'1º Alta Frec'!V11</f>
        <v>61.547044961222269</v>
      </c>
      <c r="K10" s="33">
        <f>ROUND(Datos!D144,1)</f>
        <v>23.5</v>
      </c>
      <c r="L10" s="34">
        <f t="shared" si="2"/>
        <v>38.047044961222269</v>
      </c>
      <c r="M10" s="33">
        <f t="shared" si="4"/>
        <v>61.5</v>
      </c>
      <c r="N10" s="14">
        <f t="shared" si="5"/>
        <v>61.547044961222269</v>
      </c>
      <c r="O10" s="2"/>
    </row>
    <row r="11" spans="2:15" x14ac:dyDescent="0.2">
      <c r="B11" s="13">
        <v>200</v>
      </c>
      <c r="C11" s="33">
        <f>'1º Alta Frec'!M12</f>
        <v>59.323538683774899</v>
      </c>
      <c r="D11" s="33">
        <f>ROUND(Datos!D145,1)</f>
        <v>21.7</v>
      </c>
      <c r="E11" s="34">
        <f t="shared" si="0"/>
        <v>37.623538683774896</v>
      </c>
      <c r="F11" s="33">
        <f t="shared" si="3"/>
        <v>59.3</v>
      </c>
      <c r="G11" s="14">
        <f t="shared" si="1"/>
        <v>59.323538683774899</v>
      </c>
      <c r="H11" s="2"/>
      <c r="I11" s="13">
        <v>200</v>
      </c>
      <c r="J11" s="33">
        <f>'1º Alta Frec'!V12</f>
        <v>60.398700866969349</v>
      </c>
      <c r="K11" s="33">
        <f>ROUND(Datos!D145,1)</f>
        <v>21.7</v>
      </c>
      <c r="L11" s="34">
        <f t="shared" si="2"/>
        <v>38.698700866969347</v>
      </c>
      <c r="M11" s="33">
        <f t="shared" si="4"/>
        <v>60.4</v>
      </c>
      <c r="N11" s="14">
        <f t="shared" si="5"/>
        <v>60.398700866969349</v>
      </c>
      <c r="O11" s="2"/>
    </row>
    <row r="12" spans="2:15" x14ac:dyDescent="0.2">
      <c r="B12" s="13">
        <v>250</v>
      </c>
      <c r="C12" s="33">
        <f>'1º Alta Frec'!M13</f>
        <v>59.313837990393949</v>
      </c>
      <c r="D12" s="33">
        <f>ROUND(Datos!D146,1)</f>
        <v>25.7</v>
      </c>
      <c r="E12" s="34">
        <f t="shared" si="0"/>
        <v>33.613837990393947</v>
      </c>
      <c r="F12" s="33">
        <f t="shared" si="3"/>
        <v>59.3</v>
      </c>
      <c r="G12" s="14">
        <f t="shared" si="1"/>
        <v>59.313837990393949</v>
      </c>
      <c r="H12" s="2"/>
      <c r="I12" s="13">
        <v>250</v>
      </c>
      <c r="J12" s="33">
        <f>'1º Alta Frec'!V13</f>
        <v>59.782156428143026</v>
      </c>
      <c r="K12" s="33">
        <f>ROUND(Datos!D146,1)</f>
        <v>25.7</v>
      </c>
      <c r="L12" s="34">
        <f t="shared" si="2"/>
        <v>34.082156428143023</v>
      </c>
      <c r="M12" s="33">
        <f t="shared" si="4"/>
        <v>59.8</v>
      </c>
      <c r="N12" s="14">
        <f t="shared" si="5"/>
        <v>59.782156428143026</v>
      </c>
      <c r="O12" s="2"/>
    </row>
    <row r="13" spans="2:15" x14ac:dyDescent="0.2">
      <c r="B13" s="13">
        <v>315</v>
      </c>
      <c r="C13" s="33">
        <f>'1º Alta Frec'!M14</f>
        <v>61.932624016548139</v>
      </c>
      <c r="D13" s="33">
        <f>ROUND(Datos!D147,1)</f>
        <v>25</v>
      </c>
      <c r="E13" s="34">
        <f t="shared" si="0"/>
        <v>36.932624016548139</v>
      </c>
      <c r="F13" s="33">
        <f t="shared" si="3"/>
        <v>61.9</v>
      </c>
      <c r="G13" s="14">
        <f t="shared" si="1"/>
        <v>61.932624016548139</v>
      </c>
      <c r="H13" s="2"/>
      <c r="I13" s="13">
        <v>315</v>
      </c>
      <c r="J13" s="33">
        <f>'1º Alta Frec'!V14</f>
        <v>63.1524224081734</v>
      </c>
      <c r="K13" s="33">
        <f>ROUND(Datos!D147,1)</f>
        <v>25</v>
      </c>
      <c r="L13" s="34">
        <f t="shared" si="2"/>
        <v>38.1524224081734</v>
      </c>
      <c r="M13" s="33">
        <f t="shared" si="4"/>
        <v>63.2</v>
      </c>
      <c r="N13" s="14">
        <f t="shared" si="5"/>
        <v>63.1524224081734</v>
      </c>
      <c r="O13" s="2"/>
    </row>
    <row r="14" spans="2:15" x14ac:dyDescent="0.2">
      <c r="B14" s="13">
        <v>400</v>
      </c>
      <c r="C14" s="33">
        <f>'1º Alta Frec'!M15</f>
        <v>61.467825524824669</v>
      </c>
      <c r="D14" s="33">
        <f>ROUND(Datos!D148,1)</f>
        <v>24.8</v>
      </c>
      <c r="E14" s="34">
        <f t="shared" si="0"/>
        <v>36.667825524824664</v>
      </c>
      <c r="F14" s="33">
        <f t="shared" si="3"/>
        <v>61.5</v>
      </c>
      <c r="G14" s="14">
        <f t="shared" si="1"/>
        <v>61.467825524824669</v>
      </c>
      <c r="H14" s="2"/>
      <c r="I14" s="13">
        <v>400</v>
      </c>
      <c r="J14" s="33">
        <f>'1º Alta Frec'!V15</f>
        <v>60.179928646808094</v>
      </c>
      <c r="K14" s="33">
        <f>ROUND(Datos!D148,1)</f>
        <v>24.8</v>
      </c>
      <c r="L14" s="34">
        <f t="shared" si="2"/>
        <v>35.379928646808096</v>
      </c>
      <c r="M14" s="33">
        <f t="shared" si="4"/>
        <v>60.2</v>
      </c>
      <c r="N14" s="14">
        <f t="shared" si="5"/>
        <v>60.179928646808094</v>
      </c>
      <c r="O14" s="2"/>
    </row>
    <row r="15" spans="2:15" x14ac:dyDescent="0.2">
      <c r="B15" s="13">
        <v>500</v>
      </c>
      <c r="C15" s="33">
        <f>'1º Alta Frec'!M16</f>
        <v>57.281997478535125</v>
      </c>
      <c r="D15" s="33">
        <f>ROUND(Datos!D149,1)</f>
        <v>25.8</v>
      </c>
      <c r="E15" s="34">
        <f t="shared" si="0"/>
        <v>31.481997478535124</v>
      </c>
      <c r="F15" s="33">
        <f t="shared" si="3"/>
        <v>57.3</v>
      </c>
      <c r="G15" s="14">
        <f t="shared" si="1"/>
        <v>57.281997478535125</v>
      </c>
      <c r="H15" s="2"/>
      <c r="I15" s="13">
        <v>500</v>
      </c>
      <c r="J15" s="33">
        <f>'1º Alta Frec'!V16</f>
        <v>57.336073741546457</v>
      </c>
      <c r="K15" s="33">
        <f>ROUND(Datos!D149,1)</f>
        <v>25.8</v>
      </c>
      <c r="L15" s="34">
        <f t="shared" si="2"/>
        <v>31.536073741546456</v>
      </c>
      <c r="M15" s="33">
        <f t="shared" si="4"/>
        <v>57.3</v>
      </c>
      <c r="N15" s="14">
        <f t="shared" si="5"/>
        <v>57.336073741546457</v>
      </c>
      <c r="O15" s="2"/>
    </row>
    <row r="16" spans="2:15" x14ac:dyDescent="0.2">
      <c r="B16" s="13">
        <v>630</v>
      </c>
      <c r="C16" s="33">
        <f>'1º Alta Frec'!M17</f>
        <v>52.178802718145576</v>
      </c>
      <c r="D16" s="33">
        <f>ROUND(Datos!D150,1)</f>
        <v>25.7</v>
      </c>
      <c r="E16" s="34">
        <f t="shared" si="0"/>
        <v>26.478802718145577</v>
      </c>
      <c r="F16" s="33">
        <f t="shared" si="3"/>
        <v>52.2</v>
      </c>
      <c r="G16" s="14">
        <f t="shared" si="1"/>
        <v>52.178802718145576</v>
      </c>
      <c r="H16" s="2"/>
      <c r="I16" s="13">
        <v>630</v>
      </c>
      <c r="J16" s="33">
        <f>'1º Alta Frec'!V17</f>
        <v>52.115216971622502</v>
      </c>
      <c r="K16" s="33">
        <f>ROUND(Datos!D150,1)</f>
        <v>25.7</v>
      </c>
      <c r="L16" s="34">
        <f t="shared" si="2"/>
        <v>26.415216971622502</v>
      </c>
      <c r="M16" s="33">
        <f t="shared" si="4"/>
        <v>52.1</v>
      </c>
      <c r="N16" s="14">
        <f t="shared" si="5"/>
        <v>52.115216971622502</v>
      </c>
      <c r="O16" s="2"/>
    </row>
    <row r="17" spans="2:15" x14ac:dyDescent="0.2">
      <c r="B17" s="13">
        <v>800</v>
      </c>
      <c r="C17" s="33">
        <f>'1º Alta Frec'!M18</f>
        <v>49.223937729612082</v>
      </c>
      <c r="D17" s="33">
        <f>ROUND(Datos!D151,1)</f>
        <v>25.2</v>
      </c>
      <c r="E17" s="34">
        <f t="shared" si="0"/>
        <v>24.023937729612083</v>
      </c>
      <c r="F17" s="33">
        <f t="shared" si="3"/>
        <v>49.2</v>
      </c>
      <c r="G17" s="14">
        <f t="shared" si="1"/>
        <v>49.223937729612082</v>
      </c>
      <c r="H17" s="2"/>
      <c r="I17" s="13">
        <v>800</v>
      </c>
      <c r="J17" s="33">
        <f>'1º Alta Frec'!V18</f>
        <v>49.371295719863106</v>
      </c>
      <c r="K17" s="33">
        <f>ROUND(Datos!D151,1)</f>
        <v>25.2</v>
      </c>
      <c r="L17" s="34">
        <f t="shared" si="2"/>
        <v>24.171295719863107</v>
      </c>
      <c r="M17" s="33">
        <f t="shared" si="4"/>
        <v>49.4</v>
      </c>
      <c r="N17" s="14">
        <f t="shared" si="5"/>
        <v>49.371295719863106</v>
      </c>
      <c r="O17" s="2"/>
    </row>
    <row r="18" spans="2:15" x14ac:dyDescent="0.2">
      <c r="B18" s="13">
        <v>1000</v>
      </c>
      <c r="C18" s="33">
        <f>'1º Alta Frec'!M19</f>
        <v>47.056554989526404</v>
      </c>
      <c r="D18" s="33">
        <f>ROUND(Datos!D152,1)</f>
        <v>25.6</v>
      </c>
      <c r="E18" s="34">
        <f t="shared" si="0"/>
        <v>21.456554989526403</v>
      </c>
      <c r="F18" s="33">
        <f t="shared" si="3"/>
        <v>47.1</v>
      </c>
      <c r="G18" s="14">
        <f t="shared" si="1"/>
        <v>47.056554989526404</v>
      </c>
      <c r="H18" s="2"/>
      <c r="I18" s="13">
        <v>1000</v>
      </c>
      <c r="J18" s="33">
        <f>'1º Alta Frec'!V19</f>
        <v>47.539214695951955</v>
      </c>
      <c r="K18" s="33">
        <f>ROUND(Datos!D152,1)</f>
        <v>25.6</v>
      </c>
      <c r="L18" s="34">
        <f t="shared" si="2"/>
        <v>21.939214695951954</v>
      </c>
      <c r="M18" s="33">
        <f t="shared" si="4"/>
        <v>47.5</v>
      </c>
      <c r="N18" s="14">
        <f t="shared" si="5"/>
        <v>47.539214695951955</v>
      </c>
      <c r="O18" s="2"/>
    </row>
    <row r="19" spans="2:15" x14ac:dyDescent="0.2">
      <c r="B19" s="13">
        <v>1250</v>
      </c>
      <c r="C19" s="33">
        <f>'1º Alta Frec'!M20</f>
        <v>45.62805797706104</v>
      </c>
      <c r="D19" s="33">
        <f>ROUND(Datos!D153,1)</f>
        <v>25.7</v>
      </c>
      <c r="E19" s="34">
        <f t="shared" si="0"/>
        <v>19.928057977061041</v>
      </c>
      <c r="F19" s="33">
        <f t="shared" si="3"/>
        <v>45.6</v>
      </c>
      <c r="G19" s="14">
        <f t="shared" si="1"/>
        <v>45.62805797706104</v>
      </c>
      <c r="H19" s="2"/>
      <c r="I19" s="13">
        <v>1250</v>
      </c>
      <c r="J19" s="33">
        <f>'1º Alta Frec'!V20</f>
        <v>46.765290658784139</v>
      </c>
      <c r="K19" s="33">
        <f>ROUND(Datos!D153,1)</f>
        <v>25.7</v>
      </c>
      <c r="L19" s="34">
        <f t="shared" si="2"/>
        <v>21.065290658784139</v>
      </c>
      <c r="M19" s="33">
        <f t="shared" si="4"/>
        <v>46.8</v>
      </c>
      <c r="N19" s="14">
        <f t="shared" si="5"/>
        <v>46.765290658784139</v>
      </c>
      <c r="O19" s="2"/>
    </row>
    <row r="20" spans="2:15" x14ac:dyDescent="0.2">
      <c r="B20" s="13">
        <v>1600</v>
      </c>
      <c r="C20" s="33">
        <f>'1º Alta Frec'!M21</f>
        <v>43.962104251281822</v>
      </c>
      <c r="D20" s="33">
        <f>ROUND(Datos!D154,1)</f>
        <v>25.1</v>
      </c>
      <c r="E20" s="34">
        <f t="shared" si="0"/>
        <v>18.862104251281821</v>
      </c>
      <c r="F20" s="33">
        <f t="shared" si="3"/>
        <v>44</v>
      </c>
      <c r="G20" s="14">
        <f t="shared" si="1"/>
        <v>43.962104251281822</v>
      </c>
      <c r="H20" s="2"/>
      <c r="I20" s="13">
        <v>1600</v>
      </c>
      <c r="J20" s="33">
        <f>'1º Alta Frec'!V21</f>
        <v>44.866316478168649</v>
      </c>
      <c r="K20" s="33">
        <f>ROUND(Datos!D154,1)</f>
        <v>25.1</v>
      </c>
      <c r="L20" s="34">
        <f t="shared" si="2"/>
        <v>19.766316478168648</v>
      </c>
      <c r="M20" s="33">
        <f t="shared" si="4"/>
        <v>44.9</v>
      </c>
      <c r="N20" s="14">
        <f t="shared" si="5"/>
        <v>44.866316478168649</v>
      </c>
      <c r="O20" s="2"/>
    </row>
    <row r="21" spans="2:15" x14ac:dyDescent="0.2">
      <c r="B21" s="13">
        <v>2000</v>
      </c>
      <c r="C21" s="33">
        <f>'1º Alta Frec'!M22</f>
        <v>44.469718789996662</v>
      </c>
      <c r="D21" s="33">
        <f>ROUND(Datos!D155,1)</f>
        <v>25.9</v>
      </c>
      <c r="E21" s="34">
        <f t="shared" si="0"/>
        <v>18.569718789996664</v>
      </c>
      <c r="F21" s="33">
        <f t="shared" si="3"/>
        <v>44.5</v>
      </c>
      <c r="G21" s="14">
        <f t="shared" si="1"/>
        <v>44.469718789996662</v>
      </c>
      <c r="H21" s="2"/>
      <c r="I21" s="13">
        <v>2000</v>
      </c>
      <c r="J21" s="33">
        <f>'1º Alta Frec'!V22</f>
        <v>45.402605457127606</v>
      </c>
      <c r="K21" s="33">
        <f>ROUND(Datos!D155,1)</f>
        <v>25.9</v>
      </c>
      <c r="L21" s="34">
        <f t="shared" si="2"/>
        <v>19.502605457127608</v>
      </c>
      <c r="M21" s="33">
        <f t="shared" si="4"/>
        <v>45.4</v>
      </c>
      <c r="N21" s="14">
        <f t="shared" si="5"/>
        <v>45.402605457127606</v>
      </c>
      <c r="O21" s="2"/>
    </row>
    <row r="22" spans="2:15" x14ac:dyDescent="0.2">
      <c r="B22" s="13">
        <v>2500</v>
      </c>
      <c r="C22" s="33">
        <f>'1º Alta Frec'!M23</f>
        <v>50.407145471981003</v>
      </c>
      <c r="D22" s="33">
        <f>ROUND(Datos!D156,1)</f>
        <v>26.5</v>
      </c>
      <c r="E22" s="34">
        <f t="shared" si="0"/>
        <v>23.907145471981003</v>
      </c>
      <c r="F22" s="33">
        <f t="shared" si="3"/>
        <v>50.4</v>
      </c>
      <c r="G22" s="14">
        <f t="shared" si="1"/>
        <v>50.407145471981003</v>
      </c>
      <c r="H22" s="2"/>
      <c r="I22" s="13">
        <v>2500</v>
      </c>
      <c r="J22" s="33">
        <f>'1º Alta Frec'!V23</f>
        <v>51.852272487472845</v>
      </c>
      <c r="K22" s="33">
        <f>ROUND(Datos!D156,1)</f>
        <v>26.5</v>
      </c>
      <c r="L22" s="34">
        <f t="shared" si="2"/>
        <v>25.352272487472845</v>
      </c>
      <c r="M22" s="33">
        <f t="shared" si="4"/>
        <v>51.9</v>
      </c>
      <c r="N22" s="14">
        <f t="shared" si="5"/>
        <v>51.852272487472845</v>
      </c>
      <c r="O22" s="2"/>
    </row>
    <row r="23" spans="2:15" x14ac:dyDescent="0.2">
      <c r="B23" s="13">
        <v>3150</v>
      </c>
      <c r="C23" s="33">
        <f>'1º Alta Frec'!M24</f>
        <v>51.681472753214152</v>
      </c>
      <c r="D23" s="33">
        <f>ROUND(Datos!D157,1)</f>
        <v>27.2</v>
      </c>
      <c r="E23" s="34">
        <f t="shared" si="0"/>
        <v>24.481472753214153</v>
      </c>
      <c r="F23" s="33">
        <f t="shared" si="3"/>
        <v>51.7</v>
      </c>
      <c r="G23" s="14">
        <f t="shared" si="1"/>
        <v>51.681472753214152</v>
      </c>
      <c r="H23" s="2"/>
      <c r="I23" s="13">
        <v>3150</v>
      </c>
      <c r="J23" s="33">
        <f>'1º Alta Frec'!V24</f>
        <v>53.731079260149173</v>
      </c>
      <c r="K23" s="33">
        <f>ROUND(Datos!D157,1)</f>
        <v>27.2</v>
      </c>
      <c r="L23" s="34">
        <f t="shared" si="2"/>
        <v>26.531079260149173</v>
      </c>
      <c r="M23" s="33">
        <f t="shared" si="4"/>
        <v>53.7</v>
      </c>
      <c r="N23" s="14">
        <f t="shared" si="5"/>
        <v>53.731079260149173</v>
      </c>
      <c r="O23" s="2"/>
    </row>
    <row r="24" spans="2:15" x14ac:dyDescent="0.2">
      <c r="B24" s="13">
        <v>4000</v>
      </c>
      <c r="C24" s="33">
        <f>'1º Alta Frec'!M25</f>
        <v>47.122976495568132</v>
      </c>
      <c r="D24" s="33">
        <f>ROUND(Datos!D158,1)</f>
        <v>28.1</v>
      </c>
      <c r="E24" s="34">
        <f t="shared" si="0"/>
        <v>19.02297649556813</v>
      </c>
      <c r="F24" s="33">
        <f t="shared" si="3"/>
        <v>47.1</v>
      </c>
      <c r="G24" s="14">
        <f t="shared" si="1"/>
        <v>47.122976495568132</v>
      </c>
      <c r="H24" s="2"/>
      <c r="I24" s="13">
        <v>4000</v>
      </c>
      <c r="J24" s="33">
        <f>'1º Alta Frec'!V25</f>
        <v>47.890187932807642</v>
      </c>
      <c r="K24" s="33">
        <f>ROUND(Datos!D158,1)</f>
        <v>28.1</v>
      </c>
      <c r="L24" s="34">
        <f t="shared" si="2"/>
        <v>19.79018793280764</v>
      </c>
      <c r="M24" s="33">
        <f t="shared" si="4"/>
        <v>47.9</v>
      </c>
      <c r="N24" s="14">
        <f t="shared" si="5"/>
        <v>47.890187932807642</v>
      </c>
      <c r="O24" s="2"/>
    </row>
    <row r="25" spans="2:15" x14ac:dyDescent="0.2">
      <c r="B25" s="15">
        <v>5000</v>
      </c>
      <c r="C25" s="23">
        <f>'1º Alta Frec'!M26</f>
        <v>40.714775888036094</v>
      </c>
      <c r="D25" s="23">
        <f>ROUND(Datos!D159,1)</f>
        <v>29.1</v>
      </c>
      <c r="E25" s="24">
        <f t="shared" si="0"/>
        <v>11.614775888036093</v>
      </c>
      <c r="F25" s="23">
        <f t="shared" si="3"/>
        <v>40.700000000000003</v>
      </c>
      <c r="G25" s="17">
        <f t="shared" si="1"/>
        <v>40.714775888036094</v>
      </c>
      <c r="H25" s="2"/>
      <c r="I25" s="15">
        <v>5000</v>
      </c>
      <c r="J25" s="23">
        <f>'1º Alta Frec'!V26</f>
        <v>41.06437383021138</v>
      </c>
      <c r="K25" s="23">
        <f>ROUND(Datos!D159,1)</f>
        <v>29.1</v>
      </c>
      <c r="L25" s="24">
        <f t="shared" si="2"/>
        <v>11.964373830211379</v>
      </c>
      <c r="M25" s="23">
        <f t="shared" si="4"/>
        <v>41.1</v>
      </c>
      <c r="N25" s="17">
        <f t="shared" si="5"/>
        <v>41.06437383021138</v>
      </c>
      <c r="O25" s="2"/>
    </row>
    <row r="28" spans="2:15" x14ac:dyDescent="0.2">
      <c r="B28" s="165" t="s">
        <v>43</v>
      </c>
      <c r="C28" s="166"/>
      <c r="D28" s="166"/>
      <c r="E28" s="166"/>
      <c r="F28" s="166"/>
      <c r="G28" s="167"/>
      <c r="I28" s="165" t="s">
        <v>43</v>
      </c>
      <c r="J28" s="166"/>
      <c r="K28" s="166"/>
      <c r="L28" s="166"/>
      <c r="M28" s="166"/>
      <c r="N28" s="167"/>
    </row>
    <row r="29" spans="2:15" x14ac:dyDescent="0.2">
      <c r="B29" s="162" t="s">
        <v>25</v>
      </c>
      <c r="C29" s="163"/>
      <c r="D29" s="163"/>
      <c r="E29" s="163"/>
      <c r="F29" s="163"/>
      <c r="G29" s="164"/>
      <c r="H29" s="2"/>
      <c r="I29" s="162" t="s">
        <v>28</v>
      </c>
      <c r="J29" s="163"/>
      <c r="K29" s="163"/>
      <c r="L29" s="163"/>
      <c r="M29" s="163"/>
      <c r="N29" s="164"/>
    </row>
    <row r="30" spans="2:15" ht="34" x14ac:dyDescent="0.2">
      <c r="B30" s="9" t="s">
        <v>125</v>
      </c>
      <c r="C30" s="11"/>
      <c r="D30" s="10"/>
      <c r="E30" s="21" t="s">
        <v>48</v>
      </c>
      <c r="F30" s="22"/>
      <c r="G30" s="12"/>
      <c r="H30" s="2"/>
      <c r="I30" s="9" t="s">
        <v>125</v>
      </c>
      <c r="J30" s="11"/>
      <c r="K30" s="10"/>
      <c r="L30" s="21" t="s">
        <v>48</v>
      </c>
      <c r="M30" s="22"/>
      <c r="N30" s="12"/>
    </row>
    <row r="31" spans="2:15" x14ac:dyDescent="0.2">
      <c r="B31" s="13">
        <v>50</v>
      </c>
      <c r="C31" s="33">
        <f>'1º Alta Frec'!M32</f>
        <v>72.641010619606988</v>
      </c>
      <c r="D31" s="33">
        <f>ROUND(Datos!E139,1)</f>
        <v>28.3</v>
      </c>
      <c r="E31" s="34">
        <f t="shared" ref="E31:E51" si="6">C31-D31</f>
        <v>44.34101061960699</v>
      </c>
      <c r="F31" s="33">
        <f>ROUND(C31,1)</f>
        <v>72.599999999999994</v>
      </c>
      <c r="G31" s="14">
        <f>IF(E31&lt;=6,C31-1.3,IF(E31&gt;10,C31,10*LOG10(10^(F31/10)-10^(D31/10))))</f>
        <v>72.641010619606988</v>
      </c>
      <c r="H31" s="2"/>
      <c r="I31" s="13">
        <v>50</v>
      </c>
      <c r="J31" s="33">
        <f>'1º Alta Frec'!V32</f>
        <v>71.011640659216425</v>
      </c>
      <c r="K31" s="33">
        <f>ROUND(Datos!E139,1)</f>
        <v>28.3</v>
      </c>
      <c r="L31" s="34">
        <f>J31-K31</f>
        <v>42.711640659216428</v>
      </c>
      <c r="M31" s="33">
        <f>ROUND(J31,1)</f>
        <v>71</v>
      </c>
      <c r="N31" s="14">
        <f>IF(L31&lt;=6,J31-1.3,IF(L31&gt;10,J31,10*LOG10(10^(M31/10)-10^(K31/10))))</f>
        <v>71.011640659216425</v>
      </c>
    </row>
    <row r="32" spans="2:15" x14ac:dyDescent="0.2">
      <c r="B32" s="13">
        <v>63</v>
      </c>
      <c r="C32" s="33">
        <f>'1º Alta Frec'!M33</f>
        <v>71.914584451858062</v>
      </c>
      <c r="D32" s="33">
        <f>ROUND(Datos!E140,1)</f>
        <v>21</v>
      </c>
      <c r="E32" s="34">
        <f t="shared" si="6"/>
        <v>50.914584451858062</v>
      </c>
      <c r="F32" s="33">
        <f t="shared" ref="F32:F51" si="7">ROUND(C32,1)</f>
        <v>71.900000000000006</v>
      </c>
      <c r="G32" s="14">
        <f t="shared" ref="G32:G51" si="8">IF(E32&lt;=6,C32-1.3,IF(E32&gt;10,C32,10*LOG10(10^(F32/10)-10^(D32/10))))</f>
        <v>71.914584451858062</v>
      </c>
      <c r="H32" s="2"/>
      <c r="I32" s="13">
        <v>63</v>
      </c>
      <c r="J32" s="33">
        <f>'1º Alta Frec'!V33</f>
        <v>65.092617551720139</v>
      </c>
      <c r="K32" s="33">
        <f>ROUND(Datos!E140,1)</f>
        <v>21</v>
      </c>
      <c r="L32" s="34">
        <f>J32-K32</f>
        <v>44.092617551720139</v>
      </c>
      <c r="M32" s="33">
        <f t="shared" ref="M32:M51" si="9">ROUND(J32,1)</f>
        <v>65.099999999999994</v>
      </c>
      <c r="N32" s="14">
        <f>IF(L32&lt;=6,J32-1.3,IF(L32&gt;10,J32,10*LOG10(10^(M32/10)-10^(K32/10))))</f>
        <v>65.092617551720139</v>
      </c>
    </row>
    <row r="33" spans="2:14" x14ac:dyDescent="0.2">
      <c r="B33" s="13">
        <v>80</v>
      </c>
      <c r="C33" s="33">
        <f>'1º Alta Frec'!M34</f>
        <v>84.941860930615377</v>
      </c>
      <c r="D33" s="33">
        <f>ROUND(Datos!E141,1)</f>
        <v>20.6</v>
      </c>
      <c r="E33" s="34">
        <f t="shared" si="6"/>
        <v>64.341860930615383</v>
      </c>
      <c r="F33" s="33">
        <f t="shared" si="7"/>
        <v>84.9</v>
      </c>
      <c r="G33" s="14">
        <f t="shared" si="8"/>
        <v>84.941860930615377</v>
      </c>
      <c r="H33" s="2"/>
      <c r="I33" s="13">
        <v>80</v>
      </c>
      <c r="J33" s="33">
        <f>'1º Alta Frec'!V34</f>
        <v>76.907621959793659</v>
      </c>
      <c r="K33" s="33">
        <f>ROUND(Datos!E141,1)</f>
        <v>20.6</v>
      </c>
      <c r="L33" s="34">
        <f t="shared" ref="L33:L51" si="10">J33-K33</f>
        <v>56.307621959793657</v>
      </c>
      <c r="M33" s="33">
        <f t="shared" si="9"/>
        <v>76.900000000000006</v>
      </c>
      <c r="N33" s="14">
        <f t="shared" ref="N33:N51" si="11">IF(L33&lt;=6,J33-1.3,IF(L33&gt;10,J33,10*LOG10(10^(M33/10)-10^(K33/10))))</f>
        <v>76.907621959793659</v>
      </c>
    </row>
    <row r="34" spans="2:14" x14ac:dyDescent="0.2">
      <c r="B34" s="13">
        <v>100</v>
      </c>
      <c r="C34" s="33">
        <f>'1º Alta Frec'!M35</f>
        <v>78.558868239726365</v>
      </c>
      <c r="D34" s="33">
        <f>ROUND(Datos!E142,1)</f>
        <v>21.1</v>
      </c>
      <c r="E34" s="34">
        <f t="shared" si="6"/>
        <v>57.458868239726364</v>
      </c>
      <c r="F34" s="33">
        <f t="shared" si="7"/>
        <v>78.599999999999994</v>
      </c>
      <c r="G34" s="14">
        <f t="shared" si="8"/>
        <v>78.558868239726365</v>
      </c>
      <c r="H34" s="2"/>
      <c r="I34" s="13">
        <v>100</v>
      </c>
      <c r="J34" s="33">
        <f>'1º Alta Frec'!V35</f>
        <v>75.110318786335966</v>
      </c>
      <c r="K34" s="33">
        <f>ROUND(Datos!E142,1)</f>
        <v>21.1</v>
      </c>
      <c r="L34" s="34">
        <f t="shared" si="10"/>
        <v>54.010318786335965</v>
      </c>
      <c r="M34" s="33">
        <f t="shared" si="9"/>
        <v>75.099999999999994</v>
      </c>
      <c r="N34" s="14">
        <f t="shared" si="11"/>
        <v>75.110318786335966</v>
      </c>
    </row>
    <row r="35" spans="2:14" x14ac:dyDescent="0.2">
      <c r="B35" s="13">
        <v>125</v>
      </c>
      <c r="C35" s="33">
        <f>'1º Alta Frec'!M36</f>
        <v>79.10738230819544</v>
      </c>
      <c r="D35" s="33">
        <f>ROUND(Datos!E143,1)</f>
        <v>21.4</v>
      </c>
      <c r="E35" s="34">
        <f t="shared" si="6"/>
        <v>57.707382308195442</v>
      </c>
      <c r="F35" s="33">
        <f t="shared" si="7"/>
        <v>79.099999999999994</v>
      </c>
      <c r="G35" s="14">
        <f t="shared" si="8"/>
        <v>79.10738230819544</v>
      </c>
      <c r="H35" s="2"/>
      <c r="I35" s="13">
        <v>125</v>
      </c>
      <c r="J35" s="33">
        <f>'1º Alta Frec'!V36</f>
        <v>74.004901667619393</v>
      </c>
      <c r="K35" s="33">
        <f>ROUND(Datos!E143,1)</f>
        <v>21.4</v>
      </c>
      <c r="L35" s="34">
        <f t="shared" si="10"/>
        <v>52.604901667619394</v>
      </c>
      <c r="M35" s="33">
        <f t="shared" si="9"/>
        <v>74</v>
      </c>
      <c r="N35" s="14">
        <f t="shared" si="11"/>
        <v>74.004901667619393</v>
      </c>
    </row>
    <row r="36" spans="2:14" x14ac:dyDescent="0.2">
      <c r="B36" s="13">
        <v>160</v>
      </c>
      <c r="C36" s="33">
        <f>'1º Alta Frec'!M37</f>
        <v>79.161883710248901</v>
      </c>
      <c r="D36" s="33">
        <f>ROUND(Datos!E144,1)</f>
        <v>20.7</v>
      </c>
      <c r="E36" s="34">
        <f t="shared" si="6"/>
        <v>58.461883710248898</v>
      </c>
      <c r="F36" s="33">
        <f t="shared" si="7"/>
        <v>79.2</v>
      </c>
      <c r="G36" s="14">
        <f t="shared" si="8"/>
        <v>79.161883710248901</v>
      </c>
      <c r="H36" s="2"/>
      <c r="I36" s="13">
        <v>160</v>
      </c>
      <c r="J36" s="33">
        <f>'1º Alta Frec'!V37</f>
        <v>88.282760310431541</v>
      </c>
      <c r="K36" s="33">
        <f>ROUND(Datos!E144,1)</f>
        <v>20.7</v>
      </c>
      <c r="L36" s="34">
        <f t="shared" si="10"/>
        <v>67.582760310431539</v>
      </c>
      <c r="M36" s="33">
        <f t="shared" si="9"/>
        <v>88.3</v>
      </c>
      <c r="N36" s="14">
        <f t="shared" si="11"/>
        <v>88.282760310431541</v>
      </c>
    </row>
    <row r="37" spans="2:14" x14ac:dyDescent="0.2">
      <c r="B37" s="13">
        <v>200</v>
      </c>
      <c r="C37" s="33">
        <f>'1º Alta Frec'!M38</f>
        <v>83.610766000109493</v>
      </c>
      <c r="D37" s="33">
        <f>ROUND(Datos!E145,1)</f>
        <v>20.7</v>
      </c>
      <c r="E37" s="34">
        <f t="shared" si="6"/>
        <v>62.91076600010949</v>
      </c>
      <c r="F37" s="33">
        <f t="shared" si="7"/>
        <v>83.6</v>
      </c>
      <c r="G37" s="14">
        <f t="shared" si="8"/>
        <v>83.610766000109493</v>
      </c>
      <c r="H37" s="2"/>
      <c r="I37" s="13">
        <v>200</v>
      </c>
      <c r="J37" s="33">
        <f>'1º Alta Frec'!V38</f>
        <v>89.365986295148204</v>
      </c>
      <c r="K37" s="33">
        <f>ROUND(Datos!E145,1)</f>
        <v>20.7</v>
      </c>
      <c r="L37" s="34">
        <f t="shared" si="10"/>
        <v>68.665986295148201</v>
      </c>
      <c r="M37" s="33">
        <f t="shared" si="9"/>
        <v>89.4</v>
      </c>
      <c r="N37" s="14">
        <f t="shared" si="11"/>
        <v>89.365986295148204</v>
      </c>
    </row>
    <row r="38" spans="2:14" x14ac:dyDescent="0.2">
      <c r="B38" s="13">
        <v>250</v>
      </c>
      <c r="C38" s="33">
        <f>'1º Alta Frec'!M39</f>
        <v>80.81759560779571</v>
      </c>
      <c r="D38" s="33">
        <f>ROUND(Datos!E146,1)</f>
        <v>21</v>
      </c>
      <c r="E38" s="34">
        <f t="shared" si="6"/>
        <v>59.81759560779571</v>
      </c>
      <c r="F38" s="33">
        <f t="shared" si="7"/>
        <v>80.8</v>
      </c>
      <c r="G38" s="14">
        <f t="shared" si="8"/>
        <v>80.81759560779571</v>
      </c>
      <c r="H38" s="2"/>
      <c r="I38" s="13">
        <v>250</v>
      </c>
      <c r="J38" s="33">
        <f>'1º Alta Frec'!V39</f>
        <v>92.830017022862876</v>
      </c>
      <c r="K38" s="33">
        <f>ROUND(Datos!E146,1)</f>
        <v>21</v>
      </c>
      <c r="L38" s="34">
        <f t="shared" si="10"/>
        <v>71.830017022862876</v>
      </c>
      <c r="M38" s="33">
        <f t="shared" si="9"/>
        <v>92.8</v>
      </c>
      <c r="N38" s="14">
        <f t="shared" si="11"/>
        <v>92.830017022862876</v>
      </c>
    </row>
    <row r="39" spans="2:14" x14ac:dyDescent="0.2">
      <c r="B39" s="13">
        <v>315</v>
      </c>
      <c r="C39" s="33">
        <f>'1º Alta Frec'!M40</f>
        <v>82.167617538218153</v>
      </c>
      <c r="D39" s="33">
        <f>ROUND(Datos!E147,1)</f>
        <v>20.8</v>
      </c>
      <c r="E39" s="34">
        <f t="shared" si="6"/>
        <v>61.367617538218155</v>
      </c>
      <c r="F39" s="33">
        <f t="shared" si="7"/>
        <v>82.2</v>
      </c>
      <c r="G39" s="14">
        <f t="shared" si="8"/>
        <v>82.167617538218153</v>
      </c>
      <c r="H39" s="2"/>
      <c r="I39" s="13">
        <v>315</v>
      </c>
      <c r="J39" s="33">
        <f>'1º Alta Frec'!V40</f>
        <v>87.684202613409937</v>
      </c>
      <c r="K39" s="33">
        <f>ROUND(Datos!E147,1)</f>
        <v>20.8</v>
      </c>
      <c r="L39" s="34">
        <f t="shared" si="10"/>
        <v>66.88420261340994</v>
      </c>
      <c r="M39" s="33">
        <f t="shared" si="9"/>
        <v>87.7</v>
      </c>
      <c r="N39" s="14">
        <f t="shared" si="11"/>
        <v>87.684202613409937</v>
      </c>
    </row>
    <row r="40" spans="2:14" x14ac:dyDescent="0.2">
      <c r="B40" s="13">
        <v>400</v>
      </c>
      <c r="C40" s="33">
        <f>'1º Alta Frec'!M41</f>
        <v>77.73445560488112</v>
      </c>
      <c r="D40" s="33">
        <f>ROUND(Datos!E148,1)</f>
        <v>21.3</v>
      </c>
      <c r="E40" s="34">
        <f t="shared" si="6"/>
        <v>56.434455604881123</v>
      </c>
      <c r="F40" s="33">
        <f t="shared" si="7"/>
        <v>77.7</v>
      </c>
      <c r="G40" s="14">
        <f t="shared" si="8"/>
        <v>77.73445560488112</v>
      </c>
      <c r="H40" s="2"/>
      <c r="I40" s="13">
        <v>400</v>
      </c>
      <c r="J40" s="33">
        <f>'1º Alta Frec'!V41</f>
        <v>85.689617044029646</v>
      </c>
      <c r="K40" s="33">
        <f>ROUND(Datos!E148,1)</f>
        <v>21.3</v>
      </c>
      <c r="L40" s="34">
        <f t="shared" si="10"/>
        <v>64.389617044029649</v>
      </c>
      <c r="M40" s="33">
        <f t="shared" si="9"/>
        <v>85.7</v>
      </c>
      <c r="N40" s="14">
        <f t="shared" si="11"/>
        <v>85.689617044029646</v>
      </c>
    </row>
    <row r="41" spans="2:14" x14ac:dyDescent="0.2">
      <c r="B41" s="13">
        <v>500</v>
      </c>
      <c r="C41" s="33">
        <f>'1º Alta Frec'!M42</f>
        <v>76.210894250399278</v>
      </c>
      <c r="D41" s="33">
        <f>ROUND(Datos!E149,1)</f>
        <v>21.6</v>
      </c>
      <c r="E41" s="34">
        <f t="shared" si="6"/>
        <v>54.610894250399276</v>
      </c>
      <c r="F41" s="33">
        <f t="shared" si="7"/>
        <v>76.2</v>
      </c>
      <c r="G41" s="14">
        <f t="shared" si="8"/>
        <v>76.210894250399278</v>
      </c>
      <c r="H41" s="2"/>
      <c r="I41" s="13">
        <v>500</v>
      </c>
      <c r="J41" s="33">
        <f>'1º Alta Frec'!V42</f>
        <v>81.843519629384659</v>
      </c>
      <c r="K41" s="33">
        <f>ROUND(Datos!E149,1)</f>
        <v>21.6</v>
      </c>
      <c r="L41" s="34">
        <f t="shared" si="10"/>
        <v>60.243519629384657</v>
      </c>
      <c r="M41" s="33">
        <f t="shared" si="9"/>
        <v>81.8</v>
      </c>
      <c r="N41" s="14">
        <f t="shared" si="11"/>
        <v>81.843519629384659</v>
      </c>
    </row>
    <row r="42" spans="2:14" x14ac:dyDescent="0.2">
      <c r="B42" s="13">
        <v>630</v>
      </c>
      <c r="C42" s="33">
        <f>'1º Alta Frec'!M43</f>
        <v>74.724546781159404</v>
      </c>
      <c r="D42" s="33">
        <f>ROUND(Datos!E150,1)</f>
        <v>22.3</v>
      </c>
      <c r="E42" s="34">
        <f t="shared" si="6"/>
        <v>52.424546781159407</v>
      </c>
      <c r="F42" s="33">
        <f t="shared" si="7"/>
        <v>74.7</v>
      </c>
      <c r="G42" s="14">
        <f t="shared" si="8"/>
        <v>74.724546781159404</v>
      </c>
      <c r="H42" s="2"/>
      <c r="I42" s="13">
        <v>630</v>
      </c>
      <c r="J42" s="33">
        <f>'1º Alta Frec'!V43</f>
        <v>79.857392825372926</v>
      </c>
      <c r="K42" s="33">
        <f>ROUND(Datos!E150,1)</f>
        <v>22.3</v>
      </c>
      <c r="L42" s="34">
        <f t="shared" si="10"/>
        <v>57.557392825372929</v>
      </c>
      <c r="M42" s="33">
        <f t="shared" si="9"/>
        <v>79.900000000000006</v>
      </c>
      <c r="N42" s="14">
        <f t="shared" si="11"/>
        <v>79.857392825372926</v>
      </c>
    </row>
    <row r="43" spans="2:14" x14ac:dyDescent="0.2">
      <c r="B43" s="13">
        <v>800</v>
      </c>
      <c r="C43" s="33">
        <f>'1º Alta Frec'!M44</f>
        <v>74.222435228174405</v>
      </c>
      <c r="D43" s="33">
        <f>ROUND(Datos!E151,1)</f>
        <v>22.6</v>
      </c>
      <c r="E43" s="34">
        <f t="shared" si="6"/>
        <v>51.622435228174403</v>
      </c>
      <c r="F43" s="33">
        <f t="shared" si="7"/>
        <v>74.2</v>
      </c>
      <c r="G43" s="14">
        <f t="shared" si="8"/>
        <v>74.222435228174405</v>
      </c>
      <c r="H43" s="2"/>
      <c r="I43" s="13">
        <v>800</v>
      </c>
      <c r="J43" s="33">
        <f>'1º Alta Frec'!V44</f>
        <v>78.82256485754769</v>
      </c>
      <c r="K43" s="33">
        <f>ROUND(Datos!E151,1)</f>
        <v>22.6</v>
      </c>
      <c r="L43" s="34">
        <f t="shared" si="10"/>
        <v>56.222564857547688</v>
      </c>
      <c r="M43" s="33">
        <f t="shared" si="9"/>
        <v>78.8</v>
      </c>
      <c r="N43" s="14">
        <f t="shared" si="11"/>
        <v>78.82256485754769</v>
      </c>
    </row>
    <row r="44" spans="2:14" x14ac:dyDescent="0.2">
      <c r="B44" s="13">
        <v>1000</v>
      </c>
      <c r="C44" s="33">
        <f>'1º Alta Frec'!M45</f>
        <v>72.531901701864896</v>
      </c>
      <c r="D44" s="33">
        <f>ROUND(Datos!E152,1)</f>
        <v>23.2</v>
      </c>
      <c r="E44" s="34">
        <f t="shared" si="6"/>
        <v>49.331901701864894</v>
      </c>
      <c r="F44" s="33">
        <f t="shared" si="7"/>
        <v>72.5</v>
      </c>
      <c r="G44" s="14">
        <f t="shared" si="8"/>
        <v>72.531901701864896</v>
      </c>
      <c r="H44" s="2"/>
      <c r="I44" s="13">
        <v>1000</v>
      </c>
      <c r="J44" s="33">
        <f>'1º Alta Frec'!V45</f>
        <v>77.680192183373848</v>
      </c>
      <c r="K44" s="33">
        <f>ROUND(Datos!E152,1)</f>
        <v>23.2</v>
      </c>
      <c r="L44" s="34">
        <f t="shared" si="10"/>
        <v>54.480192183373845</v>
      </c>
      <c r="M44" s="33">
        <f t="shared" si="9"/>
        <v>77.7</v>
      </c>
      <c r="N44" s="14">
        <f t="shared" si="11"/>
        <v>77.680192183373848</v>
      </c>
    </row>
    <row r="45" spans="2:14" x14ac:dyDescent="0.2">
      <c r="B45" s="13">
        <v>1250</v>
      </c>
      <c r="C45" s="33">
        <f>'1º Alta Frec'!M46</f>
        <v>70.865724856524878</v>
      </c>
      <c r="D45" s="33">
        <f>ROUND(Datos!E153,1)</f>
        <v>23.9</v>
      </c>
      <c r="E45" s="34">
        <f t="shared" si="6"/>
        <v>46.965724856524879</v>
      </c>
      <c r="F45" s="33">
        <f t="shared" si="7"/>
        <v>70.900000000000006</v>
      </c>
      <c r="G45" s="14">
        <f t="shared" si="8"/>
        <v>70.865724856524878</v>
      </c>
      <c r="H45" s="2"/>
      <c r="I45" s="13">
        <v>1250</v>
      </c>
      <c r="J45" s="33">
        <f>'1º Alta Frec'!V46</f>
        <v>75.703974045589632</v>
      </c>
      <c r="K45" s="33">
        <f>ROUND(Datos!E153,1)</f>
        <v>23.9</v>
      </c>
      <c r="L45" s="34">
        <f t="shared" si="10"/>
        <v>51.803974045589634</v>
      </c>
      <c r="M45" s="33">
        <f t="shared" si="9"/>
        <v>75.7</v>
      </c>
      <c r="N45" s="14">
        <f t="shared" si="11"/>
        <v>75.703974045589632</v>
      </c>
    </row>
    <row r="46" spans="2:14" x14ac:dyDescent="0.2">
      <c r="B46" s="13">
        <v>1600</v>
      </c>
      <c r="C46" s="33">
        <f>'1º Alta Frec'!M47</f>
        <v>69.816559492104318</v>
      </c>
      <c r="D46" s="33">
        <f>ROUND(Datos!E154,1)</f>
        <v>24.6</v>
      </c>
      <c r="E46" s="34">
        <f t="shared" si="6"/>
        <v>45.216559492104317</v>
      </c>
      <c r="F46" s="33">
        <f t="shared" si="7"/>
        <v>69.8</v>
      </c>
      <c r="G46" s="14">
        <f t="shared" si="8"/>
        <v>69.816559492104318</v>
      </c>
      <c r="H46" s="2"/>
      <c r="I46" s="13">
        <v>1600</v>
      </c>
      <c r="J46" s="33">
        <f>'1º Alta Frec'!V47</f>
        <v>74.361568643150747</v>
      </c>
      <c r="K46" s="33">
        <f>ROUND(Datos!E154,1)</f>
        <v>24.6</v>
      </c>
      <c r="L46" s="34">
        <f t="shared" si="10"/>
        <v>49.761568643150746</v>
      </c>
      <c r="M46" s="33">
        <f t="shared" si="9"/>
        <v>74.400000000000006</v>
      </c>
      <c r="N46" s="14">
        <f t="shared" si="11"/>
        <v>74.361568643150747</v>
      </c>
    </row>
    <row r="47" spans="2:14" x14ac:dyDescent="0.2">
      <c r="B47" s="13">
        <v>2000</v>
      </c>
      <c r="C47" s="33">
        <f>'1º Alta Frec'!M48</f>
        <v>70.192966399797342</v>
      </c>
      <c r="D47" s="33">
        <f>ROUND(Datos!E155,1)</f>
        <v>25.5</v>
      </c>
      <c r="E47" s="34">
        <f t="shared" si="6"/>
        <v>44.692966399797342</v>
      </c>
      <c r="F47" s="33">
        <f t="shared" si="7"/>
        <v>70.2</v>
      </c>
      <c r="G47" s="14">
        <f t="shared" si="8"/>
        <v>70.192966399797342</v>
      </c>
      <c r="H47" s="2"/>
      <c r="I47" s="13">
        <v>2000</v>
      </c>
      <c r="J47" s="33">
        <f>'1º Alta Frec'!V48</f>
        <v>74.701147556731186</v>
      </c>
      <c r="K47" s="33">
        <f>ROUND(Datos!E155,1)</f>
        <v>25.5</v>
      </c>
      <c r="L47" s="34">
        <f t="shared" si="10"/>
        <v>49.201147556731186</v>
      </c>
      <c r="M47" s="33">
        <f t="shared" si="9"/>
        <v>74.7</v>
      </c>
      <c r="N47" s="14">
        <f t="shared" si="11"/>
        <v>74.701147556731186</v>
      </c>
    </row>
    <row r="48" spans="2:14" x14ac:dyDescent="0.2">
      <c r="B48" s="13">
        <v>2500</v>
      </c>
      <c r="C48" s="33">
        <f>'1º Alta Frec'!M49</f>
        <v>74.517581132881617</v>
      </c>
      <c r="D48" s="33">
        <f>ROUND(Datos!E156,1)</f>
        <v>26.4</v>
      </c>
      <c r="E48" s="34">
        <f t="shared" si="6"/>
        <v>48.117581132881618</v>
      </c>
      <c r="F48" s="33">
        <f t="shared" si="7"/>
        <v>74.5</v>
      </c>
      <c r="G48" s="14">
        <f t="shared" si="8"/>
        <v>74.517581132881617</v>
      </c>
      <c r="H48" s="2"/>
      <c r="I48" s="13">
        <v>2500</v>
      </c>
      <c r="J48" s="33">
        <f>'1º Alta Frec'!V49</f>
        <v>78.235664395254005</v>
      </c>
      <c r="K48" s="33">
        <f>ROUND(Datos!E156,1)</f>
        <v>26.4</v>
      </c>
      <c r="L48" s="34">
        <f t="shared" si="10"/>
        <v>51.835664395254007</v>
      </c>
      <c r="M48" s="33">
        <f t="shared" si="9"/>
        <v>78.2</v>
      </c>
      <c r="N48" s="14">
        <f t="shared" si="11"/>
        <v>78.235664395254005</v>
      </c>
    </row>
    <row r="49" spans="2:14" x14ac:dyDescent="0.2">
      <c r="B49" s="13">
        <v>3150</v>
      </c>
      <c r="C49" s="33">
        <f>'1º Alta Frec'!M50</f>
        <v>74.4755031363824</v>
      </c>
      <c r="D49" s="33">
        <f>ROUND(Datos!E157,1)</f>
        <v>27</v>
      </c>
      <c r="E49" s="34">
        <f t="shared" si="6"/>
        <v>47.4755031363824</v>
      </c>
      <c r="F49" s="33">
        <f t="shared" si="7"/>
        <v>74.5</v>
      </c>
      <c r="G49" s="14">
        <f t="shared" si="8"/>
        <v>74.4755031363824</v>
      </c>
      <c r="H49" s="2"/>
      <c r="I49" s="13">
        <v>3150</v>
      </c>
      <c r="J49" s="33">
        <f>'1º Alta Frec'!V50</f>
        <v>78.380289677082857</v>
      </c>
      <c r="K49" s="33">
        <f>ROUND(Datos!E157,1)</f>
        <v>27</v>
      </c>
      <c r="L49" s="34">
        <f t="shared" si="10"/>
        <v>51.380289677082857</v>
      </c>
      <c r="M49" s="33">
        <f t="shared" si="9"/>
        <v>78.400000000000006</v>
      </c>
      <c r="N49" s="14">
        <f t="shared" si="11"/>
        <v>78.380289677082857</v>
      </c>
    </row>
    <row r="50" spans="2:14" x14ac:dyDescent="0.2">
      <c r="B50" s="13">
        <v>4000</v>
      </c>
      <c r="C50" s="33">
        <f>'1º Alta Frec'!M51</f>
        <v>69.853334112389319</v>
      </c>
      <c r="D50" s="33">
        <f>ROUND(Datos!E158,1)</f>
        <v>28</v>
      </c>
      <c r="E50" s="34">
        <f t="shared" si="6"/>
        <v>41.853334112389319</v>
      </c>
      <c r="F50" s="33">
        <f t="shared" si="7"/>
        <v>69.900000000000006</v>
      </c>
      <c r="G50" s="14">
        <f t="shared" si="8"/>
        <v>69.853334112389319</v>
      </c>
      <c r="H50" s="2"/>
      <c r="I50" s="13">
        <v>4000</v>
      </c>
      <c r="J50" s="33">
        <f>'1º Alta Frec'!V51</f>
        <v>73.416692515661978</v>
      </c>
      <c r="K50" s="33">
        <f>ROUND(Datos!E158,1)</f>
        <v>28</v>
      </c>
      <c r="L50" s="34">
        <f t="shared" si="10"/>
        <v>45.416692515661978</v>
      </c>
      <c r="M50" s="33">
        <f t="shared" si="9"/>
        <v>73.400000000000006</v>
      </c>
      <c r="N50" s="14">
        <f t="shared" si="11"/>
        <v>73.416692515661978</v>
      </c>
    </row>
    <row r="51" spans="2:14" x14ac:dyDescent="0.2">
      <c r="B51" s="15">
        <v>5000</v>
      </c>
      <c r="C51" s="23">
        <f>'1º Alta Frec'!M52</f>
        <v>65.532625240478296</v>
      </c>
      <c r="D51" s="23">
        <f>ROUND(Datos!E159,1)</f>
        <v>28.9</v>
      </c>
      <c r="E51" s="24">
        <f t="shared" si="6"/>
        <v>36.632625240478298</v>
      </c>
      <c r="F51" s="23">
        <f t="shared" si="7"/>
        <v>65.5</v>
      </c>
      <c r="G51" s="17">
        <f t="shared" si="8"/>
        <v>65.532625240478296</v>
      </c>
      <c r="H51" s="2"/>
      <c r="I51" s="15">
        <v>5000</v>
      </c>
      <c r="J51" s="23">
        <f>'1º Alta Frec'!V52</f>
        <v>69.481371597887986</v>
      </c>
      <c r="K51" s="23">
        <f>ROUND(Datos!E159,1)</f>
        <v>28.9</v>
      </c>
      <c r="L51" s="24">
        <f t="shared" si="10"/>
        <v>40.581371597887987</v>
      </c>
      <c r="M51" s="23">
        <f t="shared" si="9"/>
        <v>69.5</v>
      </c>
      <c r="N51" s="17">
        <f t="shared" si="11"/>
        <v>69.481371597887986</v>
      </c>
    </row>
    <row r="54" spans="2:14" x14ac:dyDescent="0.2">
      <c r="B54" s="159" t="s">
        <v>44</v>
      </c>
      <c r="C54" s="160"/>
      <c r="D54" s="160"/>
      <c r="E54" s="160"/>
      <c r="F54" s="160"/>
      <c r="G54" s="161"/>
      <c r="I54" s="159" t="s">
        <v>44</v>
      </c>
      <c r="J54" s="160"/>
      <c r="K54" s="160"/>
      <c r="L54" s="160"/>
      <c r="M54" s="160"/>
      <c r="N54" s="161"/>
    </row>
    <row r="55" spans="2:14" x14ac:dyDescent="0.2">
      <c r="B55" s="162" t="s">
        <v>25</v>
      </c>
      <c r="C55" s="163"/>
      <c r="D55" s="163"/>
      <c r="E55" s="163"/>
      <c r="F55" s="163"/>
      <c r="G55" s="164"/>
      <c r="H55" s="2"/>
      <c r="I55" s="162" t="s">
        <v>28</v>
      </c>
      <c r="J55" s="163"/>
      <c r="K55" s="163"/>
      <c r="L55" s="163"/>
      <c r="M55" s="163"/>
      <c r="N55" s="164"/>
    </row>
    <row r="56" spans="2:14" ht="34" x14ac:dyDescent="0.2">
      <c r="B56" s="9" t="s">
        <v>125</v>
      </c>
      <c r="C56" s="11"/>
      <c r="D56" s="10"/>
      <c r="E56" s="21" t="s">
        <v>48</v>
      </c>
      <c r="F56" s="22"/>
      <c r="G56" s="12"/>
      <c r="H56" s="2"/>
      <c r="I56" s="9" t="s">
        <v>125</v>
      </c>
      <c r="J56" s="11"/>
      <c r="K56" s="10"/>
      <c r="L56" s="21" t="s">
        <v>48</v>
      </c>
      <c r="M56" s="22"/>
      <c r="N56" s="12"/>
    </row>
    <row r="57" spans="2:14" x14ac:dyDescent="0.2">
      <c r="B57" s="13">
        <v>50</v>
      </c>
      <c r="C57" s="33">
        <f>'1º Alta Frec'!M58</f>
        <v>62.185416690603134</v>
      </c>
      <c r="D57" s="33">
        <f>ROUND(Datos!F139,1)</f>
        <v>30.5</v>
      </c>
      <c r="E57" s="34">
        <f t="shared" ref="E57:E77" si="12">C57-D57</f>
        <v>31.685416690603134</v>
      </c>
      <c r="F57" s="55">
        <f>ROUND(C57,1)</f>
        <v>62.2</v>
      </c>
      <c r="G57" s="14">
        <f>IF(E57&lt;=6,C57-1.3,IF(E57&gt;10,C57,10*LOG10(10^(F57/10)-10^(D57/10))))</f>
        <v>62.185416690603134</v>
      </c>
      <c r="H57" s="2"/>
      <c r="I57" s="13">
        <v>50</v>
      </c>
      <c r="J57" s="33">
        <f>'1º Alta Frec'!V58</f>
        <v>68.960379500626274</v>
      </c>
      <c r="K57" s="33">
        <f>ROUND(Datos!F139,1)</f>
        <v>30.5</v>
      </c>
      <c r="L57" s="34">
        <f t="shared" ref="L57:L77" si="13">J57-K57</f>
        <v>38.460379500626274</v>
      </c>
      <c r="M57" s="33">
        <f>ROUND(J57,1)</f>
        <v>69</v>
      </c>
      <c r="N57" s="14">
        <f>IF(L57&lt;=6,J57-1.3,IF(L57&gt;10,J57,10*LOG10(10^(M57/10)-10^(K57/10))))</f>
        <v>68.960379500626274</v>
      </c>
    </row>
    <row r="58" spans="2:14" x14ac:dyDescent="0.2">
      <c r="B58" s="13">
        <v>63</v>
      </c>
      <c r="C58" s="33">
        <f>'1º Alta Frec'!M59</f>
        <v>63.814501536034562</v>
      </c>
      <c r="D58" s="33">
        <f>ROUND(Datos!F140,1)</f>
        <v>22.3</v>
      </c>
      <c r="E58" s="34">
        <f t="shared" si="12"/>
        <v>41.514501536034558</v>
      </c>
      <c r="F58" s="33">
        <f t="shared" ref="F58:F77" si="14">ROUND(C58,1)</f>
        <v>63.8</v>
      </c>
      <c r="G58" s="14">
        <f t="shared" ref="G58:G77" si="15">IF(E58&lt;=6,C58-1.3,IF(E58&gt;10,C58,10*LOG10(10^(F58/10)-10^(D58/10))))</f>
        <v>63.814501536034562</v>
      </c>
      <c r="H58" s="2"/>
      <c r="I58" s="13">
        <v>63</v>
      </c>
      <c r="J58" s="33">
        <f>'1º Alta Frec'!V59</f>
        <v>54.514982413269991</v>
      </c>
      <c r="K58" s="33">
        <f>ROUND(Datos!F140,1)</f>
        <v>22.3</v>
      </c>
      <c r="L58" s="34">
        <f t="shared" si="13"/>
        <v>32.214982413269993</v>
      </c>
      <c r="M58" s="33">
        <f t="shared" ref="M58:M77" si="16">ROUND(J58,1)</f>
        <v>54.5</v>
      </c>
      <c r="N58" s="14">
        <f t="shared" ref="N58:N77" si="17">IF(L58&lt;=6,J58-1.3,IF(L58&gt;10,J58,10*LOG10(10^(M58/10)-10^(K58/10))))</f>
        <v>54.514982413269991</v>
      </c>
    </row>
    <row r="59" spans="2:14" x14ac:dyDescent="0.2">
      <c r="B59" s="13">
        <v>80</v>
      </c>
      <c r="C59" s="33">
        <f>'1º Alta Frec'!M60</f>
        <v>68.782358243584639</v>
      </c>
      <c r="D59" s="33">
        <f>ROUND(Datos!F141,1)</f>
        <v>20.7</v>
      </c>
      <c r="E59" s="34">
        <f t="shared" si="12"/>
        <v>48.082358243584636</v>
      </c>
      <c r="F59" s="33">
        <f t="shared" si="14"/>
        <v>68.8</v>
      </c>
      <c r="G59" s="14">
        <f t="shared" si="15"/>
        <v>68.782358243584639</v>
      </c>
      <c r="H59" s="2"/>
      <c r="I59" s="13">
        <v>80</v>
      </c>
      <c r="J59" s="33">
        <f>'1º Alta Frec'!V60</f>
        <v>58.422646271196641</v>
      </c>
      <c r="K59" s="33">
        <f>ROUND(Datos!F141,1)</f>
        <v>20.7</v>
      </c>
      <c r="L59" s="34">
        <f t="shared" si="13"/>
        <v>37.722646271196638</v>
      </c>
      <c r="M59" s="33">
        <f t="shared" si="16"/>
        <v>58.4</v>
      </c>
      <c r="N59" s="14">
        <f t="shared" si="17"/>
        <v>58.422646271196641</v>
      </c>
    </row>
    <row r="60" spans="2:14" x14ac:dyDescent="0.2">
      <c r="B60" s="13">
        <v>100</v>
      </c>
      <c r="C60" s="33">
        <f>'1º Alta Frec'!M61</f>
        <v>66.578354993990104</v>
      </c>
      <c r="D60" s="33">
        <f>ROUND(Datos!F142,1)</f>
        <v>21</v>
      </c>
      <c r="E60" s="34">
        <f t="shared" si="12"/>
        <v>45.578354993990104</v>
      </c>
      <c r="F60" s="33">
        <f t="shared" si="14"/>
        <v>66.599999999999994</v>
      </c>
      <c r="G60" s="14">
        <f t="shared" si="15"/>
        <v>66.578354993990104</v>
      </c>
      <c r="H60" s="2"/>
      <c r="I60" s="13">
        <v>100</v>
      </c>
      <c r="J60" s="33">
        <f>'1º Alta Frec'!V61</f>
        <v>54.098448324912283</v>
      </c>
      <c r="K60" s="33">
        <f>ROUND(Datos!F142,1)</f>
        <v>21</v>
      </c>
      <c r="L60" s="34">
        <f t="shared" si="13"/>
        <v>33.098448324912283</v>
      </c>
      <c r="M60" s="33">
        <f t="shared" si="16"/>
        <v>54.1</v>
      </c>
      <c r="N60" s="14">
        <f t="shared" si="17"/>
        <v>54.098448324912283</v>
      </c>
    </row>
    <row r="61" spans="2:14" x14ac:dyDescent="0.2">
      <c r="B61" s="13">
        <v>125</v>
      </c>
      <c r="C61" s="33">
        <f>'1º Alta Frec'!M62</f>
        <v>67.987170289641952</v>
      </c>
      <c r="D61" s="33">
        <f>ROUND(Datos!F143,1)</f>
        <v>20.7</v>
      </c>
      <c r="E61" s="34">
        <f t="shared" si="12"/>
        <v>47.287170289641949</v>
      </c>
      <c r="F61" s="33">
        <f t="shared" si="14"/>
        <v>68</v>
      </c>
      <c r="G61" s="14">
        <f t="shared" si="15"/>
        <v>67.987170289641952</v>
      </c>
      <c r="H61" s="2"/>
      <c r="I61" s="13">
        <v>125</v>
      </c>
      <c r="J61" s="33">
        <f>'1º Alta Frec'!V62</f>
        <v>52.863350698814969</v>
      </c>
      <c r="K61" s="33">
        <f>ROUND(Datos!F143,1)</f>
        <v>20.7</v>
      </c>
      <c r="L61" s="34">
        <f t="shared" si="13"/>
        <v>32.163350698814966</v>
      </c>
      <c r="M61" s="33">
        <f t="shared" si="16"/>
        <v>52.9</v>
      </c>
      <c r="N61" s="14">
        <f t="shared" si="17"/>
        <v>52.863350698814969</v>
      </c>
    </row>
    <row r="62" spans="2:14" x14ac:dyDescent="0.2">
      <c r="B62" s="13">
        <v>160</v>
      </c>
      <c r="C62" s="33">
        <f>'1º Alta Frec'!M63</f>
        <v>74.817372685774586</v>
      </c>
      <c r="D62" s="33">
        <f>ROUND(Datos!F144,1)</f>
        <v>22.4</v>
      </c>
      <c r="E62" s="34">
        <f t="shared" si="12"/>
        <v>52.417372685774588</v>
      </c>
      <c r="F62" s="33">
        <f t="shared" si="14"/>
        <v>74.8</v>
      </c>
      <c r="G62" s="14">
        <f t="shared" si="15"/>
        <v>74.817372685774586</v>
      </c>
      <c r="H62" s="2"/>
      <c r="I62" s="13">
        <v>160</v>
      </c>
      <c r="J62" s="33">
        <f>'1º Alta Frec'!V63</f>
        <v>69.011891287539044</v>
      </c>
      <c r="K62" s="33">
        <f>ROUND(Datos!F144,1)</f>
        <v>22.4</v>
      </c>
      <c r="L62" s="34">
        <f t="shared" si="13"/>
        <v>46.611891287539045</v>
      </c>
      <c r="M62" s="33">
        <f t="shared" si="16"/>
        <v>69</v>
      </c>
      <c r="N62" s="14">
        <f t="shared" si="17"/>
        <v>69.011891287539044</v>
      </c>
    </row>
    <row r="63" spans="2:14" x14ac:dyDescent="0.2">
      <c r="B63" s="13">
        <v>200</v>
      </c>
      <c r="C63" s="33">
        <f>'1º Alta Frec'!M64</f>
        <v>73.229083860402937</v>
      </c>
      <c r="D63" s="33">
        <f>ROUND(Datos!F145,1)</f>
        <v>21.6</v>
      </c>
      <c r="E63" s="34">
        <f t="shared" si="12"/>
        <v>51.629083860402936</v>
      </c>
      <c r="F63" s="33">
        <f t="shared" si="14"/>
        <v>73.2</v>
      </c>
      <c r="G63" s="14">
        <f t="shared" si="15"/>
        <v>73.229083860402937</v>
      </c>
      <c r="H63" s="2"/>
      <c r="I63" s="13">
        <v>200</v>
      </c>
      <c r="J63" s="33">
        <f>'1º Alta Frec'!V64</f>
        <v>62.706958843205271</v>
      </c>
      <c r="K63" s="33">
        <f>ROUND(Datos!F145,1)</f>
        <v>21.6</v>
      </c>
      <c r="L63" s="34">
        <f t="shared" si="13"/>
        <v>41.10695884320527</v>
      </c>
      <c r="M63" s="33">
        <f t="shared" si="16"/>
        <v>62.7</v>
      </c>
      <c r="N63" s="14">
        <f t="shared" si="17"/>
        <v>62.706958843205271</v>
      </c>
    </row>
    <row r="64" spans="2:14" x14ac:dyDescent="0.2">
      <c r="B64" s="13">
        <v>250</v>
      </c>
      <c r="C64" s="33">
        <f>'1º Alta Frec'!M65</f>
        <v>75.694631686089892</v>
      </c>
      <c r="D64" s="33">
        <f>ROUND(Datos!F146,1)</f>
        <v>21.3</v>
      </c>
      <c r="E64" s="34">
        <f t="shared" si="12"/>
        <v>54.394631686089895</v>
      </c>
      <c r="F64" s="33">
        <f t="shared" si="14"/>
        <v>75.7</v>
      </c>
      <c r="G64" s="14">
        <f t="shared" si="15"/>
        <v>75.694631686089892</v>
      </c>
      <c r="H64" s="2"/>
      <c r="I64" s="13">
        <v>250</v>
      </c>
      <c r="J64" s="33">
        <f>'1º Alta Frec'!V65</f>
        <v>66.581328844527576</v>
      </c>
      <c r="K64" s="33">
        <f>ROUND(Datos!F146,1)</f>
        <v>21.3</v>
      </c>
      <c r="L64" s="34">
        <f t="shared" si="13"/>
        <v>45.281328844527579</v>
      </c>
      <c r="M64" s="33">
        <f t="shared" si="16"/>
        <v>66.599999999999994</v>
      </c>
      <c r="N64" s="14">
        <f t="shared" si="17"/>
        <v>66.581328844527576</v>
      </c>
    </row>
    <row r="65" spans="2:14" x14ac:dyDescent="0.2">
      <c r="B65" s="13">
        <v>315</v>
      </c>
      <c r="C65" s="33">
        <f>'1º Alta Frec'!M66</f>
        <v>74.808993926225057</v>
      </c>
      <c r="D65" s="33">
        <f>ROUND(Datos!F147,1)</f>
        <v>21.2</v>
      </c>
      <c r="E65" s="34">
        <f t="shared" si="12"/>
        <v>53.608993926225054</v>
      </c>
      <c r="F65" s="33">
        <f t="shared" si="14"/>
        <v>74.8</v>
      </c>
      <c r="G65" s="14">
        <f t="shared" si="15"/>
        <v>74.808993926225057</v>
      </c>
      <c r="H65" s="2"/>
      <c r="I65" s="13">
        <v>315</v>
      </c>
      <c r="J65" s="33">
        <f>'1º Alta Frec'!V66</f>
        <v>70.243048263523548</v>
      </c>
      <c r="K65" s="33">
        <f>ROUND(Datos!F147,1)</f>
        <v>21.2</v>
      </c>
      <c r="L65" s="34">
        <f t="shared" si="13"/>
        <v>49.043048263523545</v>
      </c>
      <c r="M65" s="33">
        <f t="shared" si="16"/>
        <v>70.2</v>
      </c>
      <c r="N65" s="14">
        <f t="shared" si="17"/>
        <v>70.243048263523548</v>
      </c>
    </row>
    <row r="66" spans="2:14" x14ac:dyDescent="0.2">
      <c r="B66" s="13">
        <v>400</v>
      </c>
      <c r="C66" s="33">
        <f>'1º Alta Frec'!M67</f>
        <v>75.344376956663737</v>
      </c>
      <c r="D66" s="33">
        <f>ROUND(Datos!F148,1)</f>
        <v>21.3</v>
      </c>
      <c r="E66" s="34">
        <f t="shared" si="12"/>
        <v>54.04437695666374</v>
      </c>
      <c r="F66" s="33">
        <f t="shared" si="14"/>
        <v>75.3</v>
      </c>
      <c r="G66" s="14">
        <f t="shared" si="15"/>
        <v>75.344376956663737</v>
      </c>
      <c r="H66" s="2"/>
      <c r="I66" s="13">
        <v>400</v>
      </c>
      <c r="J66" s="33">
        <f>'1º Alta Frec'!V67</f>
        <v>68.360448816906242</v>
      </c>
      <c r="K66" s="33">
        <f>ROUND(Datos!F148,1)</f>
        <v>21.3</v>
      </c>
      <c r="L66" s="34">
        <f t="shared" si="13"/>
        <v>47.060448816906245</v>
      </c>
      <c r="M66" s="33">
        <f t="shared" si="16"/>
        <v>68.400000000000006</v>
      </c>
      <c r="N66" s="14">
        <f t="shared" si="17"/>
        <v>68.360448816906242</v>
      </c>
    </row>
    <row r="67" spans="2:14" x14ac:dyDescent="0.2">
      <c r="B67" s="13">
        <v>500</v>
      </c>
      <c r="C67" s="33">
        <f>'1º Alta Frec'!M68</f>
        <v>72.61839679768795</v>
      </c>
      <c r="D67" s="33">
        <f>ROUND(Datos!F149,1)</f>
        <v>21.9</v>
      </c>
      <c r="E67" s="34">
        <f t="shared" si="12"/>
        <v>50.718396797687952</v>
      </c>
      <c r="F67" s="33">
        <f t="shared" si="14"/>
        <v>72.599999999999994</v>
      </c>
      <c r="G67" s="14">
        <f t="shared" si="15"/>
        <v>72.61839679768795</v>
      </c>
      <c r="H67" s="2"/>
      <c r="I67" s="13">
        <v>500</v>
      </c>
      <c r="J67" s="33">
        <f>'1º Alta Frec'!V68</f>
        <v>64.115469623230098</v>
      </c>
      <c r="K67" s="33">
        <f>ROUND(Datos!F149,1)</f>
        <v>21.9</v>
      </c>
      <c r="L67" s="34">
        <f t="shared" si="13"/>
        <v>42.215469623230099</v>
      </c>
      <c r="M67" s="33">
        <f t="shared" si="16"/>
        <v>64.099999999999994</v>
      </c>
      <c r="N67" s="14">
        <f t="shared" si="17"/>
        <v>64.115469623230098</v>
      </c>
    </row>
    <row r="68" spans="2:14" x14ac:dyDescent="0.2">
      <c r="B68" s="13">
        <v>630</v>
      </c>
      <c r="C68" s="33">
        <f>'1º Alta Frec'!M69</f>
        <v>72.639907296909044</v>
      </c>
      <c r="D68" s="33">
        <f>ROUND(Datos!F150,1)</f>
        <v>22.3</v>
      </c>
      <c r="E68" s="34">
        <f t="shared" si="12"/>
        <v>50.339907296909047</v>
      </c>
      <c r="F68" s="33">
        <f t="shared" si="14"/>
        <v>72.599999999999994</v>
      </c>
      <c r="G68" s="14">
        <f t="shared" si="15"/>
        <v>72.639907296909044</v>
      </c>
      <c r="H68" s="2"/>
      <c r="I68" s="13">
        <v>630</v>
      </c>
      <c r="J68" s="33">
        <f>'1º Alta Frec'!V69</f>
        <v>62.489226352114684</v>
      </c>
      <c r="K68" s="33">
        <f>ROUND(Datos!F150,1)</f>
        <v>22.3</v>
      </c>
      <c r="L68" s="34">
        <f t="shared" si="13"/>
        <v>40.189226352114687</v>
      </c>
      <c r="M68" s="33">
        <f t="shared" si="16"/>
        <v>62.5</v>
      </c>
      <c r="N68" s="14">
        <f t="shared" si="17"/>
        <v>62.489226352114684</v>
      </c>
    </row>
    <row r="69" spans="2:14" x14ac:dyDescent="0.2">
      <c r="B69" s="13">
        <v>800</v>
      </c>
      <c r="C69" s="33">
        <f>'1º Alta Frec'!M70</f>
        <v>68.965871155351579</v>
      </c>
      <c r="D69" s="33">
        <f>ROUND(Datos!F151,1)</f>
        <v>22.7</v>
      </c>
      <c r="E69" s="34">
        <f t="shared" si="12"/>
        <v>46.265871155351576</v>
      </c>
      <c r="F69" s="33">
        <f t="shared" si="14"/>
        <v>69</v>
      </c>
      <c r="G69" s="14">
        <f t="shared" si="15"/>
        <v>68.965871155351579</v>
      </c>
      <c r="H69" s="2"/>
      <c r="I69" s="13">
        <v>800</v>
      </c>
      <c r="J69" s="33">
        <f>'1º Alta Frec'!V70</f>
        <v>59.618180566268009</v>
      </c>
      <c r="K69" s="33">
        <f>ROUND(Datos!F151,1)</f>
        <v>22.7</v>
      </c>
      <c r="L69" s="34">
        <f t="shared" si="13"/>
        <v>36.918180566268006</v>
      </c>
      <c r="M69" s="33">
        <f t="shared" si="16"/>
        <v>59.6</v>
      </c>
      <c r="N69" s="14">
        <f t="shared" si="17"/>
        <v>59.618180566268009</v>
      </c>
    </row>
    <row r="70" spans="2:14" x14ac:dyDescent="0.2">
      <c r="B70" s="13">
        <v>1000</v>
      </c>
      <c r="C70" s="33">
        <f>'1º Alta Frec'!M71</f>
        <v>66.014556605571514</v>
      </c>
      <c r="D70" s="33">
        <f>ROUND(Datos!F152,1)</f>
        <v>23.2</v>
      </c>
      <c r="E70" s="34">
        <f t="shared" si="12"/>
        <v>42.814556605571511</v>
      </c>
      <c r="F70" s="33">
        <f t="shared" si="14"/>
        <v>66</v>
      </c>
      <c r="G70" s="14">
        <f t="shared" si="15"/>
        <v>66.014556605571514</v>
      </c>
      <c r="H70" s="2"/>
      <c r="I70" s="13">
        <v>1000</v>
      </c>
      <c r="J70" s="33">
        <f>'1º Alta Frec'!V71</f>
        <v>56.004157112074751</v>
      </c>
      <c r="K70" s="33">
        <f>ROUND(Datos!F152,1)</f>
        <v>23.2</v>
      </c>
      <c r="L70" s="34">
        <f t="shared" si="13"/>
        <v>32.804157112074748</v>
      </c>
      <c r="M70" s="33">
        <f t="shared" si="16"/>
        <v>56</v>
      </c>
      <c r="N70" s="14">
        <f t="shared" si="17"/>
        <v>56.004157112074751</v>
      </c>
    </row>
    <row r="71" spans="2:14" x14ac:dyDescent="0.2">
      <c r="B71" s="13">
        <v>1250</v>
      </c>
      <c r="C71" s="33">
        <f>'1º Alta Frec'!M72</f>
        <v>63.907435056714732</v>
      </c>
      <c r="D71" s="33">
        <f>ROUND(Datos!F153,1)</f>
        <v>23.9</v>
      </c>
      <c r="E71" s="34">
        <f t="shared" si="12"/>
        <v>40.007435056714733</v>
      </c>
      <c r="F71" s="33">
        <f t="shared" si="14"/>
        <v>63.9</v>
      </c>
      <c r="G71" s="14">
        <f t="shared" si="15"/>
        <v>63.907435056714732</v>
      </c>
      <c r="H71" s="2"/>
      <c r="I71" s="13">
        <v>1250</v>
      </c>
      <c r="J71" s="33">
        <f>'1º Alta Frec'!V72</f>
        <v>53.763049555995465</v>
      </c>
      <c r="K71" s="33">
        <f>ROUND(Datos!F153,1)</f>
        <v>23.9</v>
      </c>
      <c r="L71" s="34">
        <f t="shared" si="13"/>
        <v>29.863049555995467</v>
      </c>
      <c r="M71" s="33">
        <f t="shared" si="16"/>
        <v>53.8</v>
      </c>
      <c r="N71" s="14">
        <f t="shared" si="17"/>
        <v>53.763049555995465</v>
      </c>
    </row>
    <row r="72" spans="2:14" x14ac:dyDescent="0.2">
      <c r="B72" s="13">
        <v>1600</v>
      </c>
      <c r="C72" s="33">
        <f>'1º Alta Frec'!M73</f>
        <v>62.341818530163295</v>
      </c>
      <c r="D72" s="33">
        <f>ROUND(Datos!F154,1)</f>
        <v>24.6</v>
      </c>
      <c r="E72" s="34">
        <f t="shared" si="12"/>
        <v>37.741818530163293</v>
      </c>
      <c r="F72" s="33">
        <f t="shared" si="14"/>
        <v>62.3</v>
      </c>
      <c r="G72" s="14">
        <f t="shared" si="15"/>
        <v>62.341818530163295</v>
      </c>
      <c r="H72" s="2"/>
      <c r="I72" s="13">
        <v>1600</v>
      </c>
      <c r="J72" s="33">
        <f>'1º Alta Frec'!V73</f>
        <v>52.083488488670255</v>
      </c>
      <c r="K72" s="33">
        <f>ROUND(Datos!F154,1)</f>
        <v>24.6</v>
      </c>
      <c r="L72" s="34">
        <f t="shared" si="13"/>
        <v>27.483488488670254</v>
      </c>
      <c r="M72" s="33">
        <f t="shared" si="16"/>
        <v>52.1</v>
      </c>
      <c r="N72" s="14">
        <f t="shared" si="17"/>
        <v>52.083488488670255</v>
      </c>
    </row>
    <row r="73" spans="2:14" x14ac:dyDescent="0.2">
      <c r="B73" s="13">
        <v>2000</v>
      </c>
      <c r="C73" s="33">
        <f>'1º Alta Frec'!M74</f>
        <v>60.411918938310052</v>
      </c>
      <c r="D73" s="33">
        <f>ROUND(Datos!F155,1)</f>
        <v>25.4</v>
      </c>
      <c r="E73" s="34">
        <f t="shared" si="12"/>
        <v>35.011918938310053</v>
      </c>
      <c r="F73" s="33">
        <f t="shared" si="14"/>
        <v>60.4</v>
      </c>
      <c r="G73" s="14">
        <f t="shared" si="15"/>
        <v>60.411918938310052</v>
      </c>
      <c r="H73" s="2"/>
      <c r="I73" s="13">
        <v>2000</v>
      </c>
      <c r="J73" s="33">
        <f>'1º Alta Frec'!V74</f>
        <v>50.351834651200875</v>
      </c>
      <c r="K73" s="33">
        <f>ROUND(Datos!F155,1)</f>
        <v>25.4</v>
      </c>
      <c r="L73" s="34">
        <f t="shared" si="13"/>
        <v>24.951834651200876</v>
      </c>
      <c r="M73" s="33">
        <f t="shared" si="16"/>
        <v>50.4</v>
      </c>
      <c r="N73" s="14">
        <f t="shared" si="17"/>
        <v>50.351834651200875</v>
      </c>
    </row>
    <row r="74" spans="2:14" x14ac:dyDescent="0.2">
      <c r="B74" s="13">
        <v>2500</v>
      </c>
      <c r="C74" s="33">
        <f>'1º Alta Frec'!M75</f>
        <v>62.194517908736238</v>
      </c>
      <c r="D74" s="33">
        <f>ROUND(Datos!F156,1)</f>
        <v>26.4</v>
      </c>
      <c r="E74" s="34">
        <f t="shared" si="12"/>
        <v>35.794517908736239</v>
      </c>
      <c r="F74" s="33">
        <f t="shared" si="14"/>
        <v>62.2</v>
      </c>
      <c r="G74" s="14">
        <f t="shared" si="15"/>
        <v>62.194517908736238</v>
      </c>
      <c r="H74" s="2"/>
      <c r="I74" s="13">
        <v>2500</v>
      </c>
      <c r="J74" s="33">
        <f>'1º Alta Frec'!V75</f>
        <v>53.074252144983703</v>
      </c>
      <c r="K74" s="33">
        <f>ROUND(Datos!F156,1)</f>
        <v>26.4</v>
      </c>
      <c r="L74" s="34">
        <f t="shared" si="13"/>
        <v>26.674252144983704</v>
      </c>
      <c r="M74" s="33">
        <f t="shared" si="16"/>
        <v>53.1</v>
      </c>
      <c r="N74" s="14">
        <f t="shared" si="17"/>
        <v>53.074252144983703</v>
      </c>
    </row>
    <row r="75" spans="2:14" x14ac:dyDescent="0.2">
      <c r="B75" s="13">
        <v>3150</v>
      </c>
      <c r="C75" s="33">
        <f>'1º Alta Frec'!M76</f>
        <v>62.582832987417433</v>
      </c>
      <c r="D75" s="33">
        <f>ROUND(Datos!F157,1)</f>
        <v>26.9</v>
      </c>
      <c r="E75" s="34">
        <f t="shared" si="12"/>
        <v>35.682832987417434</v>
      </c>
      <c r="F75" s="33">
        <f t="shared" si="14"/>
        <v>62.6</v>
      </c>
      <c r="G75" s="14">
        <f t="shared" si="15"/>
        <v>62.582832987417433</v>
      </c>
      <c r="H75" s="2"/>
      <c r="I75" s="13">
        <v>3150</v>
      </c>
      <c r="J75" s="33">
        <f>'1º Alta Frec'!V76</f>
        <v>53.479551494950101</v>
      </c>
      <c r="K75" s="33">
        <f>ROUND(Datos!F157,1)</f>
        <v>26.9</v>
      </c>
      <c r="L75" s="34">
        <f t="shared" si="13"/>
        <v>26.579551494950103</v>
      </c>
      <c r="M75" s="33">
        <f t="shared" si="16"/>
        <v>53.5</v>
      </c>
      <c r="N75" s="14">
        <f t="shared" si="17"/>
        <v>53.479551494950101</v>
      </c>
    </row>
    <row r="76" spans="2:14" x14ac:dyDescent="0.2">
      <c r="B76" s="13">
        <v>4000</v>
      </c>
      <c r="C76" s="33">
        <f>'1º Alta Frec'!M77</f>
        <v>58.132364794909854</v>
      </c>
      <c r="D76" s="33">
        <f>ROUND(Datos!F158,1)</f>
        <v>28</v>
      </c>
      <c r="E76" s="34">
        <f t="shared" si="12"/>
        <v>30.132364794909854</v>
      </c>
      <c r="F76" s="33">
        <f t="shared" si="14"/>
        <v>58.1</v>
      </c>
      <c r="G76" s="14">
        <f t="shared" si="15"/>
        <v>58.132364794909854</v>
      </c>
      <c r="H76" s="2"/>
      <c r="I76" s="13">
        <v>4000</v>
      </c>
      <c r="J76" s="33">
        <f>'1º Alta Frec'!V77</f>
        <v>48.929953968147764</v>
      </c>
      <c r="K76" s="33">
        <f>ROUND(Datos!F158,1)</f>
        <v>28</v>
      </c>
      <c r="L76" s="34">
        <f t="shared" si="13"/>
        <v>20.929953968147764</v>
      </c>
      <c r="M76" s="33">
        <f t="shared" si="16"/>
        <v>48.9</v>
      </c>
      <c r="N76" s="14">
        <f t="shared" si="17"/>
        <v>48.929953968147764</v>
      </c>
    </row>
    <row r="77" spans="2:14" x14ac:dyDescent="0.2">
      <c r="B77" s="15">
        <v>5000</v>
      </c>
      <c r="C77" s="23">
        <f>'1º Alta Frec'!M78</f>
        <v>53.004510514782481</v>
      </c>
      <c r="D77" s="23">
        <f>ROUND(Datos!F159,1)</f>
        <v>28.9</v>
      </c>
      <c r="E77" s="24">
        <f t="shared" si="12"/>
        <v>24.104510514782483</v>
      </c>
      <c r="F77" s="23">
        <f t="shared" si="14"/>
        <v>53</v>
      </c>
      <c r="G77" s="17">
        <f t="shared" si="15"/>
        <v>53.004510514782481</v>
      </c>
      <c r="H77" s="2"/>
      <c r="I77" s="15">
        <v>5000</v>
      </c>
      <c r="J77" s="23">
        <f>'1º Alta Frec'!V78</f>
        <v>43.798287595789319</v>
      </c>
      <c r="K77" s="23">
        <f>ROUND(Datos!F159,1)</f>
        <v>28.9</v>
      </c>
      <c r="L77" s="24">
        <f t="shared" si="13"/>
        <v>14.89828759578932</v>
      </c>
      <c r="M77" s="23">
        <f t="shared" si="16"/>
        <v>43.8</v>
      </c>
      <c r="N77" s="17">
        <f t="shared" si="17"/>
        <v>43.798287595789319</v>
      </c>
    </row>
    <row r="80" spans="2:14" x14ac:dyDescent="0.2">
      <c r="B80" s="159" t="s">
        <v>45</v>
      </c>
      <c r="C80" s="160"/>
      <c r="D80" s="160"/>
      <c r="E80" s="160"/>
      <c r="F80" s="160"/>
      <c r="G80" s="161"/>
      <c r="I80" s="159" t="s">
        <v>45</v>
      </c>
      <c r="J80" s="160"/>
      <c r="K80" s="160"/>
      <c r="L80" s="160"/>
      <c r="M80" s="160"/>
      <c r="N80" s="161"/>
    </row>
    <row r="81" spans="2:14" x14ac:dyDescent="0.2">
      <c r="B81" s="162" t="s">
        <v>25</v>
      </c>
      <c r="C81" s="163"/>
      <c r="D81" s="163"/>
      <c r="E81" s="163"/>
      <c r="F81" s="163"/>
      <c r="G81" s="164"/>
      <c r="H81" s="2"/>
      <c r="I81" s="162" t="s">
        <v>28</v>
      </c>
      <c r="J81" s="163"/>
      <c r="K81" s="163"/>
      <c r="L81" s="163"/>
      <c r="M81" s="163"/>
      <c r="N81" s="164"/>
    </row>
    <row r="82" spans="2:14" ht="34" x14ac:dyDescent="0.2">
      <c r="B82" s="9" t="s">
        <v>125</v>
      </c>
      <c r="C82" s="11"/>
      <c r="D82" s="10"/>
      <c r="E82" s="21" t="s">
        <v>48</v>
      </c>
      <c r="F82" s="22"/>
      <c r="G82" s="12"/>
      <c r="H82" s="2"/>
      <c r="I82" s="9" t="s">
        <v>125</v>
      </c>
      <c r="J82" s="11"/>
      <c r="K82" s="10"/>
      <c r="L82" s="21" t="s">
        <v>48</v>
      </c>
      <c r="M82" s="22"/>
      <c r="N82" s="12"/>
    </row>
    <row r="83" spans="2:14" x14ac:dyDescent="0.2">
      <c r="B83" s="13">
        <v>50</v>
      </c>
      <c r="C83" s="33">
        <f>'1º Alta Frec'!M84</f>
        <v>62.203847125982136</v>
      </c>
      <c r="D83" s="33">
        <f>ROUND(Datos!G139,1)</f>
        <v>26.6</v>
      </c>
      <c r="E83" s="34">
        <f t="shared" ref="E83:E103" si="18">C83-D83</f>
        <v>35.603847125982135</v>
      </c>
      <c r="F83" s="33">
        <f>ROUND(C83,1)</f>
        <v>62.2</v>
      </c>
      <c r="G83" s="14">
        <f>IF(E83&lt;=6,C83-1.3,IF(E83&gt;10,C83,10*LOG10(10^(F83/10)-10^(D83/10))))</f>
        <v>62.203847125982136</v>
      </c>
      <c r="H83" s="2"/>
      <c r="I83" s="13">
        <v>50</v>
      </c>
      <c r="J83" s="33">
        <f>'1º Alta Frec'!V84</f>
        <v>60.353684084422554</v>
      </c>
      <c r="K83" s="33">
        <f>ROUND(Datos!G139,1)</f>
        <v>26.6</v>
      </c>
      <c r="L83" s="34">
        <f t="shared" ref="L83:L103" si="19">J83-K83</f>
        <v>33.753684084422552</v>
      </c>
      <c r="M83" s="33">
        <f>ROUND(J83,1)</f>
        <v>60.4</v>
      </c>
      <c r="N83" s="14">
        <f>IF(L83&lt;=6,J83-1.3,IF(L83&gt;10,J83,10*LOG10(10^(M83/10)-10^(K83/10))))</f>
        <v>60.353684084422554</v>
      </c>
    </row>
    <row r="84" spans="2:14" x14ac:dyDescent="0.2">
      <c r="B84" s="13">
        <v>63</v>
      </c>
      <c r="C84" s="33">
        <f>'1º Alta Frec'!M85</f>
        <v>56.479854198432086</v>
      </c>
      <c r="D84" s="33">
        <f>ROUND(Datos!G140,1)</f>
        <v>20.8</v>
      </c>
      <c r="E84" s="34">
        <f t="shared" si="18"/>
        <v>35.679854198432082</v>
      </c>
      <c r="F84" s="33">
        <f t="shared" ref="F84:F103" si="20">ROUND(C84,1)</f>
        <v>56.5</v>
      </c>
      <c r="G84" s="14">
        <f t="shared" ref="G84:G103" si="21">IF(E84&lt;=6,C84-1.3,IF(E84&gt;10,C84,10*LOG10(10^(F84/10)-10^(D84/10))))</f>
        <v>56.479854198432086</v>
      </c>
      <c r="H84" s="2"/>
      <c r="I84" s="13">
        <v>63</v>
      </c>
      <c r="J84" s="33">
        <f>'1º Alta Frec'!V85</f>
        <v>59.557040288110926</v>
      </c>
      <c r="K84" s="33">
        <f>ROUND(Datos!G140,1)</f>
        <v>20.8</v>
      </c>
      <c r="L84" s="34">
        <f t="shared" si="19"/>
        <v>38.757040288110929</v>
      </c>
      <c r="M84" s="33">
        <f t="shared" ref="M84:M103" si="22">ROUND(J84,1)</f>
        <v>59.6</v>
      </c>
      <c r="N84" s="14">
        <f t="shared" ref="N84:N103" si="23">IF(L84&lt;=6,J84-1.3,IF(L84&gt;10,J84,10*LOG10(10^(M84/10)-10^(K84/10))))</f>
        <v>59.557040288110926</v>
      </c>
    </row>
    <row r="85" spans="2:14" x14ac:dyDescent="0.2">
      <c r="B85" s="13">
        <v>80</v>
      </c>
      <c r="C85" s="33">
        <f>'1º Alta Frec'!M86</f>
        <v>64.548331212128701</v>
      </c>
      <c r="D85" s="33">
        <f>ROUND(Datos!G141,1)</f>
        <v>20.3</v>
      </c>
      <c r="E85" s="34">
        <f t="shared" si="18"/>
        <v>44.248331212128704</v>
      </c>
      <c r="F85" s="33">
        <f t="shared" si="20"/>
        <v>64.5</v>
      </c>
      <c r="G85" s="14">
        <f t="shared" si="21"/>
        <v>64.548331212128701</v>
      </c>
      <c r="H85" s="2"/>
      <c r="I85" s="13">
        <v>80</v>
      </c>
      <c r="J85" s="33">
        <f>'1º Alta Frec'!V86</f>
        <v>66.746428501190309</v>
      </c>
      <c r="K85" s="33">
        <f>ROUND(Datos!G141,1)</f>
        <v>20.3</v>
      </c>
      <c r="L85" s="34">
        <f t="shared" si="19"/>
        <v>46.446428501190312</v>
      </c>
      <c r="M85" s="33">
        <f t="shared" si="22"/>
        <v>66.7</v>
      </c>
      <c r="N85" s="14">
        <f t="shared" si="23"/>
        <v>66.746428501190309</v>
      </c>
    </row>
    <row r="86" spans="2:14" x14ac:dyDescent="0.2">
      <c r="B86" s="13">
        <v>100</v>
      </c>
      <c r="C86" s="33">
        <f>'1º Alta Frec'!M87</f>
        <v>59.119915854453389</v>
      </c>
      <c r="D86" s="33">
        <f>ROUND(Datos!G142,1)</f>
        <v>20.9</v>
      </c>
      <c r="E86" s="34">
        <f t="shared" si="18"/>
        <v>38.21991585445339</v>
      </c>
      <c r="F86" s="33">
        <f t="shared" si="20"/>
        <v>59.1</v>
      </c>
      <c r="G86" s="14">
        <f t="shared" si="21"/>
        <v>59.119915854453389</v>
      </c>
      <c r="H86" s="2"/>
      <c r="I86" s="13">
        <v>100</v>
      </c>
      <c r="J86" s="33">
        <f>'1º Alta Frec'!V87</f>
        <v>61.270304444135952</v>
      </c>
      <c r="K86" s="33">
        <f>ROUND(Datos!G142,1)</f>
        <v>20.9</v>
      </c>
      <c r="L86" s="34">
        <f t="shared" si="19"/>
        <v>40.370304444135954</v>
      </c>
      <c r="M86" s="33">
        <f t="shared" si="22"/>
        <v>61.3</v>
      </c>
      <c r="N86" s="14">
        <f t="shared" si="23"/>
        <v>61.270304444135952</v>
      </c>
    </row>
    <row r="87" spans="2:14" x14ac:dyDescent="0.2">
      <c r="B87" s="13">
        <v>125</v>
      </c>
      <c r="C87" s="33">
        <f>'1º Alta Frec'!M88</f>
        <v>67.180322949173345</v>
      </c>
      <c r="D87" s="33">
        <f>ROUND(Datos!G143,1)</f>
        <v>19.2</v>
      </c>
      <c r="E87" s="34">
        <f t="shared" si="18"/>
        <v>47.980322949173342</v>
      </c>
      <c r="F87" s="33">
        <f t="shared" si="20"/>
        <v>67.2</v>
      </c>
      <c r="G87" s="14">
        <f t="shared" si="21"/>
        <v>67.180322949173345</v>
      </c>
      <c r="H87" s="2"/>
      <c r="I87" s="13">
        <v>125</v>
      </c>
      <c r="J87" s="33">
        <f>'1º Alta Frec'!V88</f>
        <v>60.108260270945514</v>
      </c>
      <c r="K87" s="33">
        <f>ROUND(Datos!G143,1)</f>
        <v>19.2</v>
      </c>
      <c r="L87" s="34">
        <f t="shared" si="19"/>
        <v>40.908260270945519</v>
      </c>
      <c r="M87" s="33">
        <f t="shared" si="22"/>
        <v>60.1</v>
      </c>
      <c r="N87" s="14">
        <f t="shared" si="23"/>
        <v>60.108260270945514</v>
      </c>
    </row>
    <row r="88" spans="2:14" x14ac:dyDescent="0.2">
      <c r="B88" s="13">
        <v>160</v>
      </c>
      <c r="C88" s="33">
        <f>'1º Alta Frec'!M89</f>
        <v>70.954735800386345</v>
      </c>
      <c r="D88" s="33">
        <f>ROUND(Datos!G144,1)</f>
        <v>23</v>
      </c>
      <c r="E88" s="34">
        <f t="shared" si="18"/>
        <v>47.954735800386345</v>
      </c>
      <c r="F88" s="33">
        <f t="shared" si="20"/>
        <v>71</v>
      </c>
      <c r="G88" s="14">
        <f t="shared" si="21"/>
        <v>70.954735800386345</v>
      </c>
      <c r="H88" s="2"/>
      <c r="I88" s="13">
        <v>160</v>
      </c>
      <c r="J88" s="33">
        <f>'1º Alta Frec'!V89</f>
        <v>68.549226533992822</v>
      </c>
      <c r="K88" s="33">
        <f>ROUND(Datos!G144,1)</f>
        <v>23</v>
      </c>
      <c r="L88" s="34">
        <f t="shared" si="19"/>
        <v>45.549226533992822</v>
      </c>
      <c r="M88" s="33">
        <f t="shared" si="22"/>
        <v>68.5</v>
      </c>
      <c r="N88" s="14">
        <f t="shared" si="23"/>
        <v>68.549226533992822</v>
      </c>
    </row>
    <row r="89" spans="2:14" x14ac:dyDescent="0.2">
      <c r="B89" s="13">
        <v>200</v>
      </c>
      <c r="C89" s="33">
        <f>'1º Alta Frec'!M90</f>
        <v>67.5335487123658</v>
      </c>
      <c r="D89" s="33">
        <f>ROUND(Datos!G145,1)</f>
        <v>21.7</v>
      </c>
      <c r="E89" s="34">
        <f t="shared" si="18"/>
        <v>45.833548712365797</v>
      </c>
      <c r="F89" s="33">
        <f t="shared" si="20"/>
        <v>67.5</v>
      </c>
      <c r="G89" s="14">
        <f t="shared" si="21"/>
        <v>67.5335487123658</v>
      </c>
      <c r="H89" s="2"/>
      <c r="I89" s="13">
        <v>200</v>
      </c>
      <c r="J89" s="33">
        <f>'1º Alta Frec'!V90</f>
        <v>67.997672145997143</v>
      </c>
      <c r="K89" s="33">
        <f>ROUND(Datos!G145,1)</f>
        <v>21.7</v>
      </c>
      <c r="L89" s="34">
        <f t="shared" si="19"/>
        <v>46.29767214599714</v>
      </c>
      <c r="M89" s="33">
        <f t="shared" si="22"/>
        <v>68</v>
      </c>
      <c r="N89" s="14">
        <f t="shared" si="23"/>
        <v>67.997672145997143</v>
      </c>
    </row>
    <row r="90" spans="2:14" x14ac:dyDescent="0.2">
      <c r="B90" s="13">
        <v>250</v>
      </c>
      <c r="C90" s="33">
        <f>'1º Alta Frec'!M91</f>
        <v>69.582611078377425</v>
      </c>
      <c r="D90" s="33">
        <f>ROUND(Datos!G146,1)</f>
        <v>25.8</v>
      </c>
      <c r="E90" s="34">
        <f t="shared" si="18"/>
        <v>43.782611078377428</v>
      </c>
      <c r="F90" s="33">
        <f t="shared" si="20"/>
        <v>69.599999999999994</v>
      </c>
      <c r="G90" s="14">
        <f t="shared" si="21"/>
        <v>69.582611078377425</v>
      </c>
      <c r="H90" s="2"/>
      <c r="I90" s="13">
        <v>250</v>
      </c>
      <c r="J90" s="33">
        <f>'1º Alta Frec'!V91</f>
        <v>72.257800074908999</v>
      </c>
      <c r="K90" s="33">
        <f>ROUND(Datos!G146,1)</f>
        <v>25.8</v>
      </c>
      <c r="L90" s="34">
        <f t="shared" si="19"/>
        <v>46.457800074909002</v>
      </c>
      <c r="M90" s="33">
        <f t="shared" si="22"/>
        <v>72.3</v>
      </c>
      <c r="N90" s="14">
        <f t="shared" si="23"/>
        <v>72.257800074908999</v>
      </c>
    </row>
    <row r="91" spans="2:14" x14ac:dyDescent="0.2">
      <c r="B91" s="13">
        <v>315</v>
      </c>
      <c r="C91" s="33">
        <f>'1º Alta Frec'!M92</f>
        <v>73.930540838231863</v>
      </c>
      <c r="D91" s="33">
        <f>ROUND(Datos!G147,1)</f>
        <v>24.7</v>
      </c>
      <c r="E91" s="34">
        <f t="shared" si="18"/>
        <v>49.23054083823186</v>
      </c>
      <c r="F91" s="33">
        <f t="shared" si="20"/>
        <v>73.900000000000006</v>
      </c>
      <c r="G91" s="14">
        <f t="shared" si="21"/>
        <v>73.930540838231863</v>
      </c>
      <c r="H91" s="2"/>
      <c r="I91" s="13">
        <v>315</v>
      </c>
      <c r="J91" s="33">
        <f>'1º Alta Frec'!V92</f>
        <v>71.754720226068571</v>
      </c>
      <c r="K91" s="33">
        <f>ROUND(Datos!G147,1)</f>
        <v>24.7</v>
      </c>
      <c r="L91" s="34">
        <f t="shared" si="19"/>
        <v>47.054720226068568</v>
      </c>
      <c r="M91" s="33">
        <f t="shared" si="22"/>
        <v>71.8</v>
      </c>
      <c r="N91" s="14">
        <f t="shared" si="23"/>
        <v>71.754720226068571</v>
      </c>
    </row>
    <row r="92" spans="2:14" x14ac:dyDescent="0.2">
      <c r="B92" s="13">
        <v>400</v>
      </c>
      <c r="C92" s="33">
        <f>'1º Alta Frec'!M93</f>
        <v>69.860124933559064</v>
      </c>
      <c r="D92" s="33">
        <f>ROUND(Datos!G148,1)</f>
        <v>24.7</v>
      </c>
      <c r="E92" s="34">
        <f t="shared" si="18"/>
        <v>45.160124933559061</v>
      </c>
      <c r="F92" s="33">
        <f t="shared" si="20"/>
        <v>69.900000000000006</v>
      </c>
      <c r="G92" s="14">
        <f t="shared" si="21"/>
        <v>69.860124933559064</v>
      </c>
      <c r="H92" s="2"/>
      <c r="I92" s="13">
        <v>400</v>
      </c>
      <c r="J92" s="33">
        <f>'1º Alta Frec'!V93</f>
        <v>70.66884107121939</v>
      </c>
      <c r="K92" s="33">
        <f>ROUND(Datos!G148,1)</f>
        <v>24.7</v>
      </c>
      <c r="L92" s="34">
        <f t="shared" si="19"/>
        <v>45.968841071219387</v>
      </c>
      <c r="M92" s="33">
        <f t="shared" si="22"/>
        <v>70.7</v>
      </c>
      <c r="N92" s="14">
        <f t="shared" si="23"/>
        <v>70.66884107121939</v>
      </c>
    </row>
    <row r="93" spans="2:14" x14ac:dyDescent="0.2">
      <c r="B93" s="13">
        <v>500</v>
      </c>
      <c r="C93" s="33">
        <f>'1º Alta Frec'!M94</f>
        <v>68.001798771761969</v>
      </c>
      <c r="D93" s="33">
        <f>ROUND(Datos!G149,1)</f>
        <v>25.7</v>
      </c>
      <c r="E93" s="34">
        <f t="shared" si="18"/>
        <v>42.301798771761966</v>
      </c>
      <c r="F93" s="33">
        <f t="shared" si="20"/>
        <v>68</v>
      </c>
      <c r="G93" s="14">
        <f t="shared" si="21"/>
        <v>68.001798771761969</v>
      </c>
      <c r="H93" s="2"/>
      <c r="I93" s="13">
        <v>500</v>
      </c>
      <c r="J93" s="33">
        <f>'1º Alta Frec'!V94</f>
        <v>69.038011313280549</v>
      </c>
      <c r="K93" s="33">
        <f>ROUND(Datos!G149,1)</f>
        <v>25.7</v>
      </c>
      <c r="L93" s="34">
        <f t="shared" si="19"/>
        <v>43.338011313280546</v>
      </c>
      <c r="M93" s="33">
        <f t="shared" si="22"/>
        <v>69</v>
      </c>
      <c r="N93" s="14">
        <f t="shared" si="23"/>
        <v>69.038011313280549</v>
      </c>
    </row>
    <row r="94" spans="2:14" x14ac:dyDescent="0.2">
      <c r="B94" s="13">
        <v>630</v>
      </c>
      <c r="C94" s="33">
        <f>'1º Alta Frec'!M95</f>
        <v>67.841459677421398</v>
      </c>
      <c r="D94" s="33">
        <f>ROUND(Datos!G150,1)</f>
        <v>25.6</v>
      </c>
      <c r="E94" s="34">
        <f t="shared" si="18"/>
        <v>42.241459677421396</v>
      </c>
      <c r="F94" s="33">
        <f t="shared" si="20"/>
        <v>67.8</v>
      </c>
      <c r="G94" s="14">
        <f t="shared" si="21"/>
        <v>67.841459677421398</v>
      </c>
      <c r="H94" s="2"/>
      <c r="I94" s="13">
        <v>630</v>
      </c>
      <c r="J94" s="33">
        <f>'1º Alta Frec'!V95</f>
        <v>67.010166912467653</v>
      </c>
      <c r="K94" s="33">
        <f>ROUND(Datos!G150,1)</f>
        <v>25.6</v>
      </c>
      <c r="L94" s="34">
        <f t="shared" si="19"/>
        <v>41.410166912467652</v>
      </c>
      <c r="M94" s="33">
        <f t="shared" si="22"/>
        <v>67</v>
      </c>
      <c r="N94" s="14">
        <f t="shared" si="23"/>
        <v>67.010166912467653</v>
      </c>
    </row>
    <row r="95" spans="2:14" x14ac:dyDescent="0.2">
      <c r="B95" s="13">
        <v>800</v>
      </c>
      <c r="C95" s="33">
        <f>'1º Alta Frec'!M96</f>
        <v>65.072922107337675</v>
      </c>
      <c r="D95" s="33">
        <f>ROUND(Datos!G151,1)</f>
        <v>25.2</v>
      </c>
      <c r="E95" s="34">
        <f t="shared" si="18"/>
        <v>39.872922107337672</v>
      </c>
      <c r="F95" s="33">
        <f t="shared" si="20"/>
        <v>65.099999999999994</v>
      </c>
      <c r="G95" s="14">
        <f t="shared" si="21"/>
        <v>65.072922107337675</v>
      </c>
      <c r="H95" s="2"/>
      <c r="I95" s="13">
        <v>800</v>
      </c>
      <c r="J95" s="33">
        <f>'1º Alta Frec'!V96</f>
        <v>64.744325442005476</v>
      </c>
      <c r="K95" s="33">
        <f>ROUND(Datos!G151,1)</f>
        <v>25.2</v>
      </c>
      <c r="L95" s="34">
        <f t="shared" si="19"/>
        <v>39.544325442005473</v>
      </c>
      <c r="M95" s="33">
        <f t="shared" si="22"/>
        <v>64.7</v>
      </c>
      <c r="N95" s="14">
        <f t="shared" si="23"/>
        <v>64.744325442005476</v>
      </c>
    </row>
    <row r="96" spans="2:14" x14ac:dyDescent="0.2">
      <c r="B96" s="13">
        <v>1000</v>
      </c>
      <c r="C96" s="33">
        <f>'1º Alta Frec'!M97</f>
        <v>61.173154053452386</v>
      </c>
      <c r="D96" s="33">
        <f>ROUND(Datos!G152,1)</f>
        <v>25.5</v>
      </c>
      <c r="E96" s="34">
        <f t="shared" si="18"/>
        <v>35.673154053452386</v>
      </c>
      <c r="F96" s="33">
        <f t="shared" si="20"/>
        <v>61.2</v>
      </c>
      <c r="G96" s="14">
        <f t="shared" si="21"/>
        <v>61.173154053452386</v>
      </c>
      <c r="H96" s="2"/>
      <c r="I96" s="13">
        <v>1000</v>
      </c>
      <c r="J96" s="33">
        <f>'1º Alta Frec'!V97</f>
        <v>61.157379251940668</v>
      </c>
      <c r="K96" s="33">
        <f>ROUND(Datos!G152,1)</f>
        <v>25.5</v>
      </c>
      <c r="L96" s="34">
        <f t="shared" si="19"/>
        <v>35.657379251940668</v>
      </c>
      <c r="M96" s="33">
        <f t="shared" si="22"/>
        <v>61.2</v>
      </c>
      <c r="N96" s="14">
        <f t="shared" si="23"/>
        <v>61.157379251940668</v>
      </c>
    </row>
    <row r="97" spans="2:14" x14ac:dyDescent="0.2">
      <c r="B97" s="13">
        <v>1250</v>
      </c>
      <c r="C97" s="33">
        <f>'1º Alta Frec'!M98</f>
        <v>57.492899121960697</v>
      </c>
      <c r="D97" s="33">
        <f>ROUND(Datos!G153,1)</f>
        <v>25.9</v>
      </c>
      <c r="E97" s="34">
        <f t="shared" si="18"/>
        <v>31.592899121960698</v>
      </c>
      <c r="F97" s="33">
        <f t="shared" si="20"/>
        <v>57.5</v>
      </c>
      <c r="G97" s="14">
        <f t="shared" si="21"/>
        <v>57.492899121960697</v>
      </c>
      <c r="H97" s="2"/>
      <c r="I97" s="13">
        <v>1250</v>
      </c>
      <c r="J97" s="33">
        <f>'1º Alta Frec'!V98</f>
        <v>56.801066738992496</v>
      </c>
      <c r="K97" s="33">
        <f>ROUND(Datos!G153,1)</f>
        <v>25.9</v>
      </c>
      <c r="L97" s="34">
        <f t="shared" si="19"/>
        <v>30.901066738992498</v>
      </c>
      <c r="M97" s="33">
        <f t="shared" si="22"/>
        <v>56.8</v>
      </c>
      <c r="N97" s="14">
        <f t="shared" si="23"/>
        <v>56.801066738992496</v>
      </c>
    </row>
    <row r="98" spans="2:14" x14ac:dyDescent="0.2">
      <c r="B98" s="13">
        <v>1600</v>
      </c>
      <c r="C98" s="33">
        <f>'1º Alta Frec'!M99</f>
        <v>54.805106608620513</v>
      </c>
      <c r="D98" s="33">
        <f>ROUND(Datos!G154,1)</f>
        <v>25.1</v>
      </c>
      <c r="E98" s="34">
        <f t="shared" si="18"/>
        <v>29.705106608620511</v>
      </c>
      <c r="F98" s="33">
        <f t="shared" si="20"/>
        <v>54.8</v>
      </c>
      <c r="G98" s="14">
        <f t="shared" si="21"/>
        <v>54.805106608620513</v>
      </c>
      <c r="H98" s="2"/>
      <c r="I98" s="13">
        <v>1600</v>
      </c>
      <c r="J98" s="33">
        <f>'1º Alta Frec'!V99</f>
        <v>54.150689458495329</v>
      </c>
      <c r="K98" s="33">
        <f>ROUND(Datos!G154,1)</f>
        <v>25.1</v>
      </c>
      <c r="L98" s="34">
        <f t="shared" si="19"/>
        <v>29.050689458495327</v>
      </c>
      <c r="M98" s="33">
        <f t="shared" si="22"/>
        <v>54.2</v>
      </c>
      <c r="N98" s="14">
        <f t="shared" si="23"/>
        <v>54.150689458495329</v>
      </c>
    </row>
    <row r="99" spans="2:14" x14ac:dyDescent="0.2">
      <c r="B99" s="13">
        <v>2000</v>
      </c>
      <c r="C99" s="33">
        <f>'1º Alta Frec'!M100</f>
        <v>52.629164657318874</v>
      </c>
      <c r="D99" s="33">
        <f>ROUND(Datos!G155,1)</f>
        <v>26</v>
      </c>
      <c r="E99" s="34">
        <f t="shared" si="18"/>
        <v>26.629164657318874</v>
      </c>
      <c r="F99" s="33">
        <f t="shared" si="20"/>
        <v>52.6</v>
      </c>
      <c r="G99" s="14">
        <f t="shared" si="21"/>
        <v>52.629164657318874</v>
      </c>
      <c r="H99" s="2"/>
      <c r="I99" s="13">
        <v>2000</v>
      </c>
      <c r="J99" s="33">
        <f>'1º Alta Frec'!V100</f>
        <v>51.834074390703798</v>
      </c>
      <c r="K99" s="33">
        <f>ROUND(Datos!G155,1)</f>
        <v>26</v>
      </c>
      <c r="L99" s="34">
        <f t="shared" si="19"/>
        <v>25.834074390703798</v>
      </c>
      <c r="M99" s="33">
        <f t="shared" si="22"/>
        <v>51.8</v>
      </c>
      <c r="N99" s="14">
        <f t="shared" si="23"/>
        <v>51.834074390703798</v>
      </c>
    </row>
    <row r="100" spans="2:14" x14ac:dyDescent="0.2">
      <c r="B100" s="13">
        <v>2500</v>
      </c>
      <c r="C100" s="33">
        <f>'1º Alta Frec'!M101</f>
        <v>55.809615563508515</v>
      </c>
      <c r="D100" s="33">
        <f>ROUND(Datos!G156,1)</f>
        <v>26.4</v>
      </c>
      <c r="E100" s="34">
        <f t="shared" si="18"/>
        <v>29.409615563508517</v>
      </c>
      <c r="F100" s="33">
        <f t="shared" si="20"/>
        <v>55.8</v>
      </c>
      <c r="G100" s="14">
        <f t="shared" si="21"/>
        <v>55.809615563508515</v>
      </c>
      <c r="H100" s="2"/>
      <c r="I100" s="13">
        <v>2500</v>
      </c>
      <c r="J100" s="33">
        <f>'1º Alta Frec'!V101</f>
        <v>52.895367257959094</v>
      </c>
      <c r="K100" s="33">
        <f>ROUND(Datos!G156,1)</f>
        <v>26.4</v>
      </c>
      <c r="L100" s="34">
        <f t="shared" si="19"/>
        <v>26.495367257959096</v>
      </c>
      <c r="M100" s="33">
        <f t="shared" si="22"/>
        <v>52.9</v>
      </c>
      <c r="N100" s="14">
        <f t="shared" si="23"/>
        <v>52.895367257959094</v>
      </c>
    </row>
    <row r="101" spans="2:14" x14ac:dyDescent="0.2">
      <c r="B101" s="13">
        <v>3150</v>
      </c>
      <c r="C101" s="33">
        <f>'1º Alta Frec'!M102</f>
        <v>56.432449459187588</v>
      </c>
      <c r="D101" s="33">
        <f>ROUND(Datos!G157,1)</f>
        <v>27.1</v>
      </c>
      <c r="E101" s="34">
        <f t="shared" si="18"/>
        <v>29.332449459187586</v>
      </c>
      <c r="F101" s="33">
        <f t="shared" si="20"/>
        <v>56.4</v>
      </c>
      <c r="G101" s="14">
        <f t="shared" si="21"/>
        <v>56.432449459187588</v>
      </c>
      <c r="H101" s="2"/>
      <c r="I101" s="13">
        <v>3150</v>
      </c>
      <c r="J101" s="33">
        <f>'1º Alta Frec'!V102</f>
        <v>52.423642172713521</v>
      </c>
      <c r="K101" s="33">
        <f>ROUND(Datos!G157,1)</f>
        <v>27.1</v>
      </c>
      <c r="L101" s="34">
        <f t="shared" si="19"/>
        <v>25.323642172713519</v>
      </c>
      <c r="M101" s="33">
        <f t="shared" si="22"/>
        <v>52.4</v>
      </c>
      <c r="N101" s="14">
        <f t="shared" si="23"/>
        <v>52.423642172713521</v>
      </c>
    </row>
    <row r="102" spans="2:14" x14ac:dyDescent="0.2">
      <c r="B102" s="13">
        <v>4000</v>
      </c>
      <c r="C102" s="33">
        <f>'1º Alta Frec'!M103</f>
        <v>49.49366425659629</v>
      </c>
      <c r="D102" s="33">
        <f>ROUND(Datos!G158,1)</f>
        <v>28.1</v>
      </c>
      <c r="E102" s="34">
        <f t="shared" si="18"/>
        <v>21.393664256596288</v>
      </c>
      <c r="F102" s="33">
        <f t="shared" si="20"/>
        <v>49.5</v>
      </c>
      <c r="G102" s="14">
        <f t="shared" si="21"/>
        <v>49.49366425659629</v>
      </c>
      <c r="H102" s="2"/>
      <c r="I102" s="13">
        <v>4000</v>
      </c>
      <c r="J102" s="33">
        <f>'1º Alta Frec'!V103</f>
        <v>47.041489297610823</v>
      </c>
      <c r="K102" s="33">
        <f>ROUND(Datos!G158,1)</f>
        <v>28.1</v>
      </c>
      <c r="L102" s="34">
        <f t="shared" si="19"/>
        <v>18.941489297610822</v>
      </c>
      <c r="M102" s="33">
        <f t="shared" si="22"/>
        <v>47</v>
      </c>
      <c r="N102" s="14">
        <f t="shared" si="23"/>
        <v>47.041489297610823</v>
      </c>
    </row>
    <row r="103" spans="2:14" x14ac:dyDescent="0.2">
      <c r="B103" s="15">
        <v>5000</v>
      </c>
      <c r="C103" s="23">
        <f>'1º Alta Frec'!M104</f>
        <v>44.651419312717032</v>
      </c>
      <c r="D103" s="23">
        <f>ROUND(Datos!G159,1)</f>
        <v>29</v>
      </c>
      <c r="E103" s="24">
        <f t="shared" si="18"/>
        <v>15.651419312717032</v>
      </c>
      <c r="F103" s="23">
        <f t="shared" si="20"/>
        <v>44.7</v>
      </c>
      <c r="G103" s="17">
        <f t="shared" si="21"/>
        <v>44.651419312717032</v>
      </c>
      <c r="H103" s="2"/>
      <c r="I103" s="15">
        <v>5000</v>
      </c>
      <c r="J103" s="23">
        <f>'1º Alta Frec'!V104</f>
        <v>42.740452238964828</v>
      </c>
      <c r="K103" s="23">
        <f>ROUND(Datos!G159,1)</f>
        <v>29</v>
      </c>
      <c r="L103" s="24">
        <f t="shared" si="19"/>
        <v>13.740452238964828</v>
      </c>
      <c r="M103" s="23">
        <f t="shared" si="22"/>
        <v>42.7</v>
      </c>
      <c r="N103" s="17">
        <f t="shared" si="23"/>
        <v>42.740452238964828</v>
      </c>
    </row>
    <row r="107" spans="2:14" x14ac:dyDescent="0.2">
      <c r="B107" s="159" t="s">
        <v>46</v>
      </c>
      <c r="C107" s="160"/>
      <c r="D107" s="160"/>
      <c r="E107" s="160"/>
      <c r="F107" s="160"/>
      <c r="G107" s="161"/>
      <c r="I107" s="159" t="s">
        <v>46</v>
      </c>
      <c r="J107" s="160"/>
      <c r="K107" s="160"/>
      <c r="L107" s="160"/>
      <c r="M107" s="160"/>
      <c r="N107" s="161"/>
    </row>
    <row r="108" spans="2:14" x14ac:dyDescent="0.2">
      <c r="B108" s="162" t="s">
        <v>25</v>
      </c>
      <c r="C108" s="163"/>
      <c r="D108" s="163"/>
      <c r="E108" s="163"/>
      <c r="F108" s="163"/>
      <c r="G108" s="164"/>
      <c r="H108" s="2"/>
      <c r="I108" s="162" t="s">
        <v>28</v>
      </c>
      <c r="J108" s="163"/>
      <c r="K108" s="163"/>
      <c r="L108" s="163"/>
      <c r="M108" s="163"/>
      <c r="N108" s="164"/>
    </row>
    <row r="109" spans="2:14" ht="34" x14ac:dyDescent="0.2">
      <c r="B109" s="9" t="s">
        <v>125</v>
      </c>
      <c r="C109" s="11"/>
      <c r="D109" s="10"/>
      <c r="E109" s="21" t="s">
        <v>48</v>
      </c>
      <c r="F109" s="22"/>
      <c r="G109" s="12"/>
      <c r="H109" s="2"/>
      <c r="I109" s="9" t="s">
        <v>125</v>
      </c>
      <c r="J109" s="11"/>
      <c r="K109" s="10"/>
      <c r="L109" s="21" t="s">
        <v>48</v>
      </c>
      <c r="M109" s="22"/>
      <c r="N109" s="12"/>
    </row>
    <row r="110" spans="2:14" x14ac:dyDescent="0.2">
      <c r="B110" s="13">
        <v>50</v>
      </c>
      <c r="C110" s="33">
        <f>'1º Alta Frec'!M110</f>
        <v>50.927637327275932</v>
      </c>
      <c r="D110" s="33">
        <f>ROUND(Datos!H139,1)</f>
        <v>28.4</v>
      </c>
      <c r="E110" s="34">
        <f t="shared" ref="E110:E130" si="24">C110-D110</f>
        <v>22.527637327275933</v>
      </c>
      <c r="F110" s="33">
        <f>ROUND(C110,1)</f>
        <v>50.9</v>
      </c>
      <c r="G110" s="14">
        <f>IF(E110&lt;=6,C110-1.3,IF(E110&gt;10,C110,10*LOG10(10^(F110/10)-10^(D110/10))))</f>
        <v>50.927637327275932</v>
      </c>
      <c r="H110" s="2"/>
      <c r="I110" s="13">
        <v>50</v>
      </c>
      <c r="J110" s="33">
        <f>'1º Alta Frec'!V110</f>
        <v>50.075400015583256</v>
      </c>
      <c r="K110" s="33">
        <f>ROUND(Datos!H139,1)</f>
        <v>28.4</v>
      </c>
      <c r="L110" s="34">
        <f t="shared" ref="L110:L130" si="25">J110-K110</f>
        <v>21.675400015583257</v>
      </c>
      <c r="M110" s="33">
        <f>ROUND(J110,1)</f>
        <v>50.1</v>
      </c>
      <c r="N110" s="14">
        <f>IF(L110&lt;=6,J110-1.3,IF(L110&gt;10,J110,10*LOG10(10^(M110/10)-10^(K110/10))))</f>
        <v>50.075400015583256</v>
      </c>
    </row>
    <row r="111" spans="2:14" x14ac:dyDescent="0.2">
      <c r="B111" s="13">
        <v>63</v>
      </c>
      <c r="C111" s="33">
        <f>'1º Alta Frec'!M111</f>
        <v>36.604431358309782</v>
      </c>
      <c r="D111" s="33">
        <f>ROUND(Datos!H140,1)</f>
        <v>22.1</v>
      </c>
      <c r="E111" s="34">
        <f t="shared" si="24"/>
        <v>14.50443135830978</v>
      </c>
      <c r="F111" s="33">
        <f t="shared" ref="F111:F130" si="26">ROUND(C111,1)</f>
        <v>36.6</v>
      </c>
      <c r="G111" s="14">
        <f t="shared" ref="G111:G130" si="27">IF(E111&lt;=6,C111-1.3,IF(E111&gt;10,C111,10*LOG10(10^(F111/10)-10^(D111/10))))</f>
        <v>36.604431358309782</v>
      </c>
      <c r="H111" s="2"/>
      <c r="I111" s="13">
        <v>63</v>
      </c>
      <c r="J111" s="33">
        <f>'1º Alta Frec'!V111</f>
        <v>44.068193971471878</v>
      </c>
      <c r="K111" s="33">
        <f>ROUND(Datos!H140,1)</f>
        <v>22.1</v>
      </c>
      <c r="L111" s="34">
        <f t="shared" si="25"/>
        <v>21.968193971471877</v>
      </c>
      <c r="M111" s="33">
        <f t="shared" ref="M111:M130" si="28">ROUND(J111,1)</f>
        <v>44.1</v>
      </c>
      <c r="N111" s="14">
        <f t="shared" ref="N111:N130" si="29">IF(L111&lt;=6,J111-1.3,IF(L111&gt;10,J111,10*LOG10(10^(M111/10)-10^(K111/10))))</f>
        <v>44.068193971471878</v>
      </c>
    </row>
    <row r="112" spans="2:14" x14ac:dyDescent="0.2">
      <c r="B112" s="13">
        <v>80</v>
      </c>
      <c r="C112" s="33">
        <f>'1º Alta Frec'!M112</f>
        <v>48.317311495961107</v>
      </c>
      <c r="D112" s="33">
        <f>ROUND(Datos!H141,1)</f>
        <v>20</v>
      </c>
      <c r="E112" s="34">
        <f t="shared" si="24"/>
        <v>28.317311495961107</v>
      </c>
      <c r="F112" s="33">
        <f t="shared" si="26"/>
        <v>48.3</v>
      </c>
      <c r="G112" s="14">
        <f t="shared" si="27"/>
        <v>48.317311495961107</v>
      </c>
      <c r="H112" s="2"/>
      <c r="I112" s="13">
        <v>80</v>
      </c>
      <c r="J112" s="33">
        <f>'1º Alta Frec'!V112</f>
        <v>48.4738026129424</v>
      </c>
      <c r="K112" s="33">
        <f>ROUND(Datos!H141,1)</f>
        <v>20</v>
      </c>
      <c r="L112" s="34">
        <f t="shared" si="25"/>
        <v>28.4738026129424</v>
      </c>
      <c r="M112" s="33">
        <f t="shared" si="28"/>
        <v>48.5</v>
      </c>
      <c r="N112" s="14">
        <f t="shared" si="29"/>
        <v>48.4738026129424</v>
      </c>
    </row>
    <row r="113" spans="2:14" x14ac:dyDescent="0.2">
      <c r="B113" s="13">
        <v>100</v>
      </c>
      <c r="C113" s="33">
        <f>'1º Alta Frec'!M113</f>
        <v>43.139258373893568</v>
      </c>
      <c r="D113" s="33">
        <f>ROUND(Datos!H142,1)</f>
        <v>20.100000000000001</v>
      </c>
      <c r="E113" s="34">
        <f t="shared" si="24"/>
        <v>23.039258373893567</v>
      </c>
      <c r="F113" s="33">
        <f t="shared" si="26"/>
        <v>43.1</v>
      </c>
      <c r="G113" s="14">
        <f t="shared" si="27"/>
        <v>43.139258373893568</v>
      </c>
      <c r="H113" s="2"/>
      <c r="I113" s="13">
        <v>100</v>
      </c>
      <c r="J113" s="33">
        <f>'1º Alta Frec'!V113</f>
        <v>50.927156597899454</v>
      </c>
      <c r="K113" s="33">
        <f>ROUND(Datos!H142,1)</f>
        <v>20.100000000000001</v>
      </c>
      <c r="L113" s="34">
        <f t="shared" si="25"/>
        <v>30.827156597899453</v>
      </c>
      <c r="M113" s="33">
        <f t="shared" si="28"/>
        <v>50.9</v>
      </c>
      <c r="N113" s="14">
        <f t="shared" si="29"/>
        <v>50.927156597899454</v>
      </c>
    </row>
    <row r="114" spans="2:14" x14ac:dyDescent="0.2">
      <c r="B114" s="13">
        <v>125</v>
      </c>
      <c r="C114" s="33">
        <f>'1º Alta Frec'!M114</f>
        <v>45.798155537483645</v>
      </c>
      <c r="D114" s="33">
        <f>ROUND(Datos!H143,1)</f>
        <v>19.8</v>
      </c>
      <c r="E114" s="34">
        <f t="shared" si="24"/>
        <v>25.998155537483644</v>
      </c>
      <c r="F114" s="33">
        <f t="shared" si="26"/>
        <v>45.8</v>
      </c>
      <c r="G114" s="14">
        <f t="shared" si="27"/>
        <v>45.798155537483645</v>
      </c>
      <c r="H114" s="2"/>
      <c r="I114" s="13">
        <v>125</v>
      </c>
      <c r="J114" s="33">
        <f>'1º Alta Frec'!V114</f>
        <v>47.107254508457075</v>
      </c>
      <c r="K114" s="33">
        <f>ROUND(Datos!H143,1)</f>
        <v>19.8</v>
      </c>
      <c r="L114" s="34">
        <f t="shared" si="25"/>
        <v>27.307254508457074</v>
      </c>
      <c r="M114" s="33">
        <f t="shared" si="28"/>
        <v>47.1</v>
      </c>
      <c r="N114" s="14">
        <f t="shared" si="29"/>
        <v>47.107254508457075</v>
      </c>
    </row>
    <row r="115" spans="2:14" x14ac:dyDescent="0.2">
      <c r="B115" s="13">
        <v>160</v>
      </c>
      <c r="C115" s="33">
        <f>'1º Alta Frec'!M115</f>
        <v>49.674902743879095</v>
      </c>
      <c r="D115" s="33">
        <f>ROUND(Datos!H144,1)</f>
        <v>22.5</v>
      </c>
      <c r="E115" s="34">
        <f t="shared" si="24"/>
        <v>27.174902743879095</v>
      </c>
      <c r="F115" s="33">
        <f t="shared" si="26"/>
        <v>49.7</v>
      </c>
      <c r="G115" s="14">
        <f t="shared" si="27"/>
        <v>49.674902743879095</v>
      </c>
      <c r="H115" s="2"/>
      <c r="I115" s="13">
        <v>160</v>
      </c>
      <c r="J115" s="33">
        <f>'1º Alta Frec'!V115</f>
        <v>49.623774448358247</v>
      </c>
      <c r="K115" s="33">
        <f>ROUND(Datos!H144,1)</f>
        <v>22.5</v>
      </c>
      <c r="L115" s="34">
        <f t="shared" si="25"/>
        <v>27.123774448358247</v>
      </c>
      <c r="M115" s="33">
        <f t="shared" si="28"/>
        <v>49.6</v>
      </c>
      <c r="N115" s="14">
        <f t="shared" si="29"/>
        <v>49.623774448358247</v>
      </c>
    </row>
    <row r="116" spans="2:14" x14ac:dyDescent="0.2">
      <c r="B116" s="13">
        <v>200</v>
      </c>
      <c r="C116" s="33">
        <f>'1º Alta Frec'!M116</f>
        <v>48.395428244009338</v>
      </c>
      <c r="D116" s="33">
        <f>ROUND(Datos!H145,1)</f>
        <v>20.5</v>
      </c>
      <c r="E116" s="34">
        <f t="shared" si="24"/>
        <v>27.895428244009338</v>
      </c>
      <c r="F116" s="33">
        <f t="shared" si="26"/>
        <v>48.4</v>
      </c>
      <c r="G116" s="14">
        <f t="shared" si="27"/>
        <v>48.395428244009338</v>
      </c>
      <c r="H116" s="2"/>
      <c r="I116" s="13">
        <v>200</v>
      </c>
      <c r="J116" s="33">
        <f>'1º Alta Frec'!V116</f>
        <v>50.269041915769101</v>
      </c>
      <c r="K116" s="33">
        <f>ROUND(Datos!H145,1)</f>
        <v>20.5</v>
      </c>
      <c r="L116" s="34">
        <f t="shared" si="25"/>
        <v>29.769041915769101</v>
      </c>
      <c r="M116" s="33">
        <f t="shared" si="28"/>
        <v>50.3</v>
      </c>
      <c r="N116" s="14">
        <f t="shared" si="29"/>
        <v>50.269041915769101</v>
      </c>
    </row>
    <row r="117" spans="2:14" x14ac:dyDescent="0.2">
      <c r="B117" s="13">
        <v>250</v>
      </c>
      <c r="C117" s="33">
        <f>'1º Alta Frec'!M117</f>
        <v>47.953657390698716</v>
      </c>
      <c r="D117" s="33">
        <f>ROUND(Datos!H146,1)</f>
        <v>21.1</v>
      </c>
      <c r="E117" s="34">
        <f t="shared" si="24"/>
        <v>26.853657390698714</v>
      </c>
      <c r="F117" s="33">
        <f t="shared" si="26"/>
        <v>48</v>
      </c>
      <c r="G117" s="14">
        <f t="shared" si="27"/>
        <v>47.953657390698716</v>
      </c>
      <c r="H117" s="2"/>
      <c r="I117" s="13">
        <v>250</v>
      </c>
      <c r="J117" s="33">
        <f>'1º Alta Frec'!V117</f>
        <v>49.195848272816463</v>
      </c>
      <c r="K117" s="33">
        <f>ROUND(Datos!H146,1)</f>
        <v>21.1</v>
      </c>
      <c r="L117" s="34">
        <f t="shared" si="25"/>
        <v>28.095848272816461</v>
      </c>
      <c r="M117" s="33">
        <f t="shared" si="28"/>
        <v>49.2</v>
      </c>
      <c r="N117" s="14">
        <f t="shared" si="29"/>
        <v>49.195848272816463</v>
      </c>
    </row>
    <row r="118" spans="2:14" x14ac:dyDescent="0.2">
      <c r="B118" s="13">
        <v>315</v>
      </c>
      <c r="C118" s="33">
        <f>'1º Alta Frec'!M118</f>
        <v>47.688840939966099</v>
      </c>
      <c r="D118" s="33">
        <f>ROUND(Datos!H147,1)</f>
        <v>21.4</v>
      </c>
      <c r="E118" s="34">
        <f t="shared" si="24"/>
        <v>26.2888409399661</v>
      </c>
      <c r="F118" s="33">
        <f t="shared" si="26"/>
        <v>47.7</v>
      </c>
      <c r="G118" s="14">
        <f t="shared" si="27"/>
        <v>47.688840939966099</v>
      </c>
      <c r="H118" s="2"/>
      <c r="I118" s="13">
        <v>315</v>
      </c>
      <c r="J118" s="33">
        <f>'1º Alta Frec'!V118</f>
        <v>49.15951655313706</v>
      </c>
      <c r="K118" s="33">
        <f>ROUND(Datos!H147,1)</f>
        <v>21.4</v>
      </c>
      <c r="L118" s="34">
        <f t="shared" si="25"/>
        <v>27.759516553137061</v>
      </c>
      <c r="M118" s="33">
        <f t="shared" si="28"/>
        <v>49.2</v>
      </c>
      <c r="N118" s="14">
        <f t="shared" si="29"/>
        <v>49.15951655313706</v>
      </c>
    </row>
    <row r="119" spans="2:14" x14ac:dyDescent="0.2">
      <c r="B119" s="13">
        <v>400</v>
      </c>
      <c r="C119" s="33">
        <f>'1º Alta Frec'!M119</f>
        <v>47.966171829538595</v>
      </c>
      <c r="D119" s="33">
        <f>ROUND(Datos!H148,1)</f>
        <v>21.2</v>
      </c>
      <c r="E119" s="34">
        <f t="shared" si="24"/>
        <v>26.766171829538596</v>
      </c>
      <c r="F119" s="33">
        <f t="shared" si="26"/>
        <v>48</v>
      </c>
      <c r="G119" s="14">
        <f t="shared" si="27"/>
        <v>47.966171829538595</v>
      </c>
      <c r="H119" s="2"/>
      <c r="I119" s="13">
        <v>400</v>
      </c>
      <c r="J119" s="33">
        <f>'1º Alta Frec'!V119</f>
        <v>45.476687809567693</v>
      </c>
      <c r="K119" s="33">
        <f>ROUND(Datos!H148,1)</f>
        <v>21.2</v>
      </c>
      <c r="L119" s="34">
        <f t="shared" si="25"/>
        <v>24.276687809567694</v>
      </c>
      <c r="M119" s="33">
        <f t="shared" si="28"/>
        <v>45.5</v>
      </c>
      <c r="N119" s="14">
        <f t="shared" si="29"/>
        <v>45.476687809567693</v>
      </c>
    </row>
    <row r="120" spans="2:14" x14ac:dyDescent="0.2">
      <c r="B120" s="13">
        <v>500</v>
      </c>
      <c r="C120" s="33">
        <f>'1º Alta Frec'!M120</f>
        <v>44.361775964907473</v>
      </c>
      <c r="D120" s="33">
        <f>ROUND(Datos!H149,1)</f>
        <v>21.7</v>
      </c>
      <c r="E120" s="34">
        <f t="shared" si="24"/>
        <v>22.661775964907473</v>
      </c>
      <c r="F120" s="33">
        <f t="shared" si="26"/>
        <v>44.4</v>
      </c>
      <c r="G120" s="14">
        <f t="shared" si="27"/>
        <v>44.361775964907473</v>
      </c>
      <c r="H120" s="2"/>
      <c r="I120" s="13">
        <v>500</v>
      </c>
      <c r="J120" s="33">
        <f>'1º Alta Frec'!V120</f>
        <v>41.870632828211839</v>
      </c>
      <c r="K120" s="33">
        <f>ROUND(Datos!H149,1)</f>
        <v>21.7</v>
      </c>
      <c r="L120" s="34">
        <f t="shared" si="25"/>
        <v>20.17063282821184</v>
      </c>
      <c r="M120" s="33">
        <f t="shared" si="28"/>
        <v>41.9</v>
      </c>
      <c r="N120" s="14">
        <f t="shared" si="29"/>
        <v>41.870632828211839</v>
      </c>
    </row>
    <row r="121" spans="2:14" x14ac:dyDescent="0.2">
      <c r="B121" s="13">
        <v>630</v>
      </c>
      <c r="C121" s="33">
        <f>'1º Alta Frec'!M121</f>
        <v>39.775199907635994</v>
      </c>
      <c r="D121" s="33">
        <f>ROUND(Datos!H150,1)</f>
        <v>22.4</v>
      </c>
      <c r="E121" s="34">
        <f t="shared" si="24"/>
        <v>17.375199907635995</v>
      </c>
      <c r="F121" s="33">
        <f t="shared" si="26"/>
        <v>39.799999999999997</v>
      </c>
      <c r="G121" s="14">
        <f t="shared" si="27"/>
        <v>39.775199907635994</v>
      </c>
      <c r="H121" s="2"/>
      <c r="I121" s="13">
        <v>630</v>
      </c>
      <c r="J121" s="33">
        <f>'1º Alta Frec'!V121</f>
        <v>39.746747481175383</v>
      </c>
      <c r="K121" s="33">
        <f>ROUND(Datos!H150,1)</f>
        <v>22.4</v>
      </c>
      <c r="L121" s="34">
        <f t="shared" si="25"/>
        <v>17.346747481175385</v>
      </c>
      <c r="M121" s="33">
        <f t="shared" si="28"/>
        <v>39.700000000000003</v>
      </c>
      <c r="N121" s="14">
        <f t="shared" si="29"/>
        <v>39.746747481175383</v>
      </c>
    </row>
    <row r="122" spans="2:14" x14ac:dyDescent="0.2">
      <c r="B122" s="13">
        <v>800</v>
      </c>
      <c r="C122" s="33">
        <f>'1º Alta Frec'!M122</f>
        <v>35.209156225785826</v>
      </c>
      <c r="D122" s="33">
        <f>ROUND(Datos!H151,1)</f>
        <v>23.8</v>
      </c>
      <c r="E122" s="34">
        <f t="shared" si="24"/>
        <v>11.409156225785825</v>
      </c>
      <c r="F122" s="33">
        <f t="shared" si="26"/>
        <v>35.200000000000003</v>
      </c>
      <c r="G122" s="14">
        <f t="shared" si="27"/>
        <v>35.209156225785826</v>
      </c>
      <c r="H122" s="2"/>
      <c r="I122" s="13">
        <v>800</v>
      </c>
      <c r="J122" s="33">
        <f>'1º Alta Frec'!V122</f>
        <v>34.409319374351249</v>
      </c>
      <c r="K122" s="33">
        <f>ROUND(Datos!H151,1)</f>
        <v>23.8</v>
      </c>
      <c r="L122" s="34">
        <f t="shared" si="25"/>
        <v>10.609319374351248</v>
      </c>
      <c r="M122" s="33">
        <f t="shared" si="28"/>
        <v>34.4</v>
      </c>
      <c r="N122" s="14">
        <f t="shared" si="29"/>
        <v>34.409319374351249</v>
      </c>
    </row>
    <row r="123" spans="2:14" x14ac:dyDescent="0.2">
      <c r="B123" s="13">
        <v>1000</v>
      </c>
      <c r="C123" s="33">
        <f>'1º Alta Frec'!M123</f>
        <v>33.469854877434898</v>
      </c>
      <c r="D123" s="33">
        <f>ROUND(Datos!H152,1)</f>
        <v>23.1</v>
      </c>
      <c r="E123" s="56">
        <f t="shared" si="24"/>
        <v>10.369854877434896</v>
      </c>
      <c r="F123" s="33">
        <f t="shared" si="26"/>
        <v>33.5</v>
      </c>
      <c r="G123" s="14">
        <f t="shared" si="27"/>
        <v>33.469854877434898</v>
      </c>
      <c r="H123" s="2"/>
      <c r="I123" s="13">
        <v>1000</v>
      </c>
      <c r="J123" s="33">
        <f>'1º Alta Frec'!V123</f>
        <v>32.729938532185329</v>
      </c>
      <c r="K123" s="33">
        <f>ROUND(Datos!H152,1)</f>
        <v>23.1</v>
      </c>
      <c r="L123" s="56">
        <f t="shared" si="25"/>
        <v>9.6299385321853279</v>
      </c>
      <c r="M123" s="33">
        <f t="shared" si="28"/>
        <v>32.700000000000003</v>
      </c>
      <c r="N123" s="14">
        <f t="shared" si="29"/>
        <v>32.195618265823576</v>
      </c>
    </row>
    <row r="124" spans="2:14" x14ac:dyDescent="0.2">
      <c r="B124" s="13">
        <v>1250</v>
      </c>
      <c r="C124" s="33">
        <f>'1º Alta Frec'!M124</f>
        <v>31.388756583947824</v>
      </c>
      <c r="D124" s="33">
        <f>ROUND(Datos!H153,1)</f>
        <v>24.8</v>
      </c>
      <c r="E124" s="56">
        <f t="shared" si="24"/>
        <v>6.5887565839478235</v>
      </c>
      <c r="F124" s="33">
        <f t="shared" si="26"/>
        <v>31.4</v>
      </c>
      <c r="G124" s="14">
        <f t="shared" si="27"/>
        <v>30.327754865133937</v>
      </c>
      <c r="H124" s="2"/>
      <c r="I124" s="13">
        <v>1250</v>
      </c>
      <c r="J124" s="33">
        <f>'1º Alta Frec'!V124</f>
        <v>30.437471542083866</v>
      </c>
      <c r="K124" s="33">
        <f>ROUND(Datos!H153,1)</f>
        <v>24.8</v>
      </c>
      <c r="L124" s="56">
        <f t="shared" si="25"/>
        <v>5.6374715420838655</v>
      </c>
      <c r="M124" s="33">
        <f t="shared" si="28"/>
        <v>30.4</v>
      </c>
      <c r="N124" s="14">
        <f t="shared" si="29"/>
        <v>29.137471542083865</v>
      </c>
    </row>
    <row r="125" spans="2:14" x14ac:dyDescent="0.2">
      <c r="B125" s="13">
        <v>1600</v>
      </c>
      <c r="C125" s="33">
        <f>'1º Alta Frec'!M125</f>
        <v>30.731937394773261</v>
      </c>
      <c r="D125" s="33">
        <f>ROUND(Datos!H154,1)</f>
        <v>24.2</v>
      </c>
      <c r="E125" s="56">
        <f t="shared" si="24"/>
        <v>6.5319373947732622</v>
      </c>
      <c r="F125" s="33">
        <f t="shared" si="26"/>
        <v>30.7</v>
      </c>
      <c r="G125" s="14">
        <f t="shared" si="27"/>
        <v>29.59933287843533</v>
      </c>
      <c r="H125" s="2"/>
      <c r="I125" s="13">
        <v>1600</v>
      </c>
      <c r="J125" s="33">
        <f>'1º Alta Frec'!V125</f>
        <v>30.267593247491487</v>
      </c>
      <c r="K125" s="33">
        <f>ROUND(Datos!H154,1)</f>
        <v>24.2</v>
      </c>
      <c r="L125" s="56">
        <f>J125-K125</f>
        <v>6.0675932474914873</v>
      </c>
      <c r="M125" s="33">
        <f t="shared" si="28"/>
        <v>30.3</v>
      </c>
      <c r="N125" s="14">
        <f t="shared" si="29"/>
        <v>29.076759987667806</v>
      </c>
    </row>
    <row r="126" spans="2:14" x14ac:dyDescent="0.2">
      <c r="B126" s="13">
        <v>2000</v>
      </c>
      <c r="C126" s="33">
        <f>'1º Alta Frec'!M126</f>
        <v>29.889388723128135</v>
      </c>
      <c r="D126" s="33">
        <f>ROUND(Datos!H155,1)</f>
        <v>25.6</v>
      </c>
      <c r="E126" s="34">
        <f t="shared" si="24"/>
        <v>4.289388723128134</v>
      </c>
      <c r="F126" s="33">
        <f t="shared" si="26"/>
        <v>29.9</v>
      </c>
      <c r="G126" s="60">
        <f t="shared" si="27"/>
        <v>28.589388723128135</v>
      </c>
      <c r="H126" s="2"/>
      <c r="I126" s="13">
        <v>2000</v>
      </c>
      <c r="J126" s="33">
        <f>'1º Alta Frec'!V126</f>
        <v>29.132376066896178</v>
      </c>
      <c r="K126" s="33">
        <f>ROUND(Datos!H155,1)</f>
        <v>25.6</v>
      </c>
      <c r="L126" s="57">
        <f t="shared" si="25"/>
        <v>3.5323760668961768</v>
      </c>
      <c r="M126" s="33">
        <f t="shared" si="28"/>
        <v>29.1</v>
      </c>
      <c r="N126" s="60">
        <f t="shared" si="29"/>
        <v>27.832376066896177</v>
      </c>
    </row>
    <row r="127" spans="2:14" x14ac:dyDescent="0.2">
      <c r="B127" s="13">
        <v>2500</v>
      </c>
      <c r="C127" s="33">
        <f>'1º Alta Frec'!M127</f>
        <v>32.686168670258262</v>
      </c>
      <c r="D127" s="33">
        <f>ROUND(Datos!H156,1)</f>
        <v>26.4</v>
      </c>
      <c r="E127" s="56">
        <f t="shared" si="24"/>
        <v>6.2861686702582631</v>
      </c>
      <c r="F127" s="33">
        <f t="shared" si="26"/>
        <v>32.700000000000003</v>
      </c>
      <c r="G127" s="14">
        <f t="shared" si="27"/>
        <v>31.539889447902311</v>
      </c>
      <c r="H127" s="2"/>
      <c r="I127" s="13">
        <v>2500</v>
      </c>
      <c r="J127" s="33">
        <f>'1º Alta Frec'!V127</f>
        <v>31.117491715439304</v>
      </c>
      <c r="K127" s="33">
        <f>ROUND(Datos!H156,1)</f>
        <v>26.4</v>
      </c>
      <c r="L127" s="57">
        <f t="shared" si="25"/>
        <v>4.717491715439305</v>
      </c>
      <c r="M127" s="33">
        <f t="shared" si="28"/>
        <v>31.1</v>
      </c>
      <c r="N127" s="60">
        <f t="shared" si="29"/>
        <v>29.817491715439303</v>
      </c>
    </row>
    <row r="128" spans="2:14" x14ac:dyDescent="0.2">
      <c r="B128" s="13">
        <v>3150</v>
      </c>
      <c r="C128" s="33">
        <f>'1º Alta Frec'!M128</f>
        <v>34.716466350192896</v>
      </c>
      <c r="D128" s="33">
        <f>ROUND(Datos!H157,1)</f>
        <v>27.8</v>
      </c>
      <c r="E128" s="56">
        <f t="shared" si="24"/>
        <v>6.9164663501928949</v>
      </c>
      <c r="F128" s="33">
        <f t="shared" si="26"/>
        <v>34.700000000000003</v>
      </c>
      <c r="G128" s="14">
        <f t="shared" si="27"/>
        <v>33.708182358043587</v>
      </c>
      <c r="H128" s="2"/>
      <c r="I128" s="13">
        <v>3150</v>
      </c>
      <c r="J128" s="33">
        <f>'1º Alta Frec'!V128</f>
        <v>32.315969572335405</v>
      </c>
      <c r="K128" s="33">
        <f>ROUND(Datos!H157,1)</f>
        <v>27.8</v>
      </c>
      <c r="L128" s="57">
        <f t="shared" si="25"/>
        <v>4.5159695723354041</v>
      </c>
      <c r="M128" s="33">
        <f t="shared" si="28"/>
        <v>32.299999999999997</v>
      </c>
      <c r="N128" s="60">
        <f t="shared" si="29"/>
        <v>31.015969572335404</v>
      </c>
    </row>
    <row r="129" spans="2:14" x14ac:dyDescent="0.2">
      <c r="B129" s="13">
        <v>4000</v>
      </c>
      <c r="C129" s="33">
        <f>'1º Alta Frec'!M129</f>
        <v>31.275575599272507</v>
      </c>
      <c r="D129" s="33">
        <f>ROUND(Datos!H158,1)</f>
        <v>28.1</v>
      </c>
      <c r="E129" s="34">
        <f t="shared" si="24"/>
        <v>3.1755755992725057</v>
      </c>
      <c r="F129" s="33">
        <f t="shared" si="26"/>
        <v>31.3</v>
      </c>
      <c r="G129" s="60">
        <f t="shared" si="27"/>
        <v>29.975575599272506</v>
      </c>
      <c r="H129" s="2"/>
      <c r="I129" s="13">
        <v>4000</v>
      </c>
      <c r="J129" s="33">
        <f>'1º Alta Frec'!V129</f>
        <v>29.618577376529323</v>
      </c>
      <c r="K129" s="33">
        <f>ROUND(Datos!H158,1)</f>
        <v>28.1</v>
      </c>
      <c r="L129" s="57">
        <f t="shared" si="25"/>
        <v>1.518577376529322</v>
      </c>
      <c r="M129" s="33">
        <f t="shared" si="28"/>
        <v>29.6</v>
      </c>
      <c r="N129" s="60">
        <f t="shared" si="29"/>
        <v>28.318577376529323</v>
      </c>
    </row>
    <row r="130" spans="2:14" x14ac:dyDescent="0.2">
      <c r="B130" s="15">
        <v>5000</v>
      </c>
      <c r="C130" s="23">
        <f>'1º Alta Frec'!M130</f>
        <v>29.934693256289442</v>
      </c>
      <c r="D130" s="23">
        <f>ROUND(Datos!H159,1)</f>
        <v>29</v>
      </c>
      <c r="E130" s="24">
        <f t="shared" si="24"/>
        <v>0.93469325628944233</v>
      </c>
      <c r="F130" s="23">
        <f t="shared" si="26"/>
        <v>29.9</v>
      </c>
      <c r="G130" s="59">
        <f t="shared" si="27"/>
        <v>28.634693256289442</v>
      </c>
      <c r="H130" s="2"/>
      <c r="I130" s="15">
        <v>5000</v>
      </c>
      <c r="J130" s="23">
        <f>'1º Alta Frec'!V130</f>
        <v>29.349072297611901</v>
      </c>
      <c r="K130" s="23">
        <f>ROUND(Datos!H159,1)</f>
        <v>29</v>
      </c>
      <c r="L130" s="58">
        <f t="shared" si="25"/>
        <v>0.34907229761190095</v>
      </c>
      <c r="M130" s="23">
        <f t="shared" si="28"/>
        <v>29.3</v>
      </c>
      <c r="N130" s="59">
        <f t="shared" si="29"/>
        <v>28.0490722976119</v>
      </c>
    </row>
  </sheetData>
  <mergeCells count="20">
    <mergeCell ref="B55:G55"/>
    <mergeCell ref="I55:N55"/>
    <mergeCell ref="B2:G2"/>
    <mergeCell ref="I2:N2"/>
    <mergeCell ref="B28:G28"/>
    <mergeCell ref="I28:N28"/>
    <mergeCell ref="B54:G54"/>
    <mergeCell ref="I54:N54"/>
    <mergeCell ref="B29:G29"/>
    <mergeCell ref="I29:N29"/>
    <mergeCell ref="B3:G3"/>
    <mergeCell ref="I3:N3"/>
    <mergeCell ref="B81:G81"/>
    <mergeCell ref="I81:N81"/>
    <mergeCell ref="B80:G80"/>
    <mergeCell ref="I80:N80"/>
    <mergeCell ref="B108:G108"/>
    <mergeCell ref="I108:N108"/>
    <mergeCell ref="B107:G107"/>
    <mergeCell ref="I107:N107"/>
  </mergeCells>
  <conditionalFormatting sqref="E110:E130">
    <cfRule type="cellIs" dxfId="16" priority="1" operator="lessThanOrEqual">
      <formula>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F316-8705-4543-9880-B8B47E9D07DF}">
  <dimension ref="B2:T132"/>
  <sheetViews>
    <sheetView showGridLines="0" zoomScale="73" zoomScaleNormal="150" workbookViewId="0">
      <selection activeCell="J5" sqref="J5"/>
    </sheetView>
  </sheetViews>
  <sheetFormatPr baseColWidth="10" defaultRowHeight="16" x14ac:dyDescent="0.2"/>
  <cols>
    <col min="1" max="1" width="3.1640625" customWidth="1"/>
    <col min="9" max="9" width="9" customWidth="1"/>
    <col min="10" max="10" width="10.83203125" customWidth="1"/>
    <col min="11" max="11" width="3.83203125" customWidth="1"/>
    <col min="19" max="19" width="10" customWidth="1"/>
    <col min="20" max="20" width="10.83203125" customWidth="1"/>
    <col min="21" max="23" width="4.1640625" customWidth="1"/>
  </cols>
  <sheetData>
    <row r="2" spans="2:20" x14ac:dyDescent="0.2">
      <c r="B2" s="171" t="s">
        <v>42</v>
      </c>
      <c r="C2" s="171"/>
      <c r="D2" s="171"/>
      <c r="E2" s="171"/>
      <c r="F2" s="171"/>
      <c r="G2" s="171"/>
      <c r="H2" s="171"/>
      <c r="I2" s="171"/>
      <c r="J2" s="171"/>
      <c r="K2" s="2"/>
      <c r="L2" s="172" t="s">
        <v>42</v>
      </c>
      <c r="M2" s="173"/>
      <c r="N2" s="173"/>
      <c r="O2" s="173"/>
      <c r="P2" s="173"/>
      <c r="Q2" s="173"/>
      <c r="R2" s="173"/>
      <c r="S2" s="173"/>
      <c r="T2" s="174"/>
    </row>
    <row r="3" spans="2:20" ht="20" customHeight="1" x14ac:dyDescent="0.2">
      <c r="B3" s="168" t="s">
        <v>25</v>
      </c>
      <c r="C3" s="169"/>
      <c r="D3" s="169"/>
      <c r="E3" s="169"/>
      <c r="F3" s="169"/>
      <c r="G3" s="169"/>
      <c r="H3" s="170"/>
      <c r="I3" s="63"/>
      <c r="J3" s="64">
        <f>4.5*2.08</f>
        <v>9.36</v>
      </c>
      <c r="K3" s="2"/>
      <c r="L3" s="162" t="s">
        <v>28</v>
      </c>
      <c r="M3" s="163"/>
      <c r="N3" s="163"/>
      <c r="O3" s="163"/>
      <c r="P3" s="163"/>
      <c r="Q3" s="163"/>
      <c r="R3" s="164"/>
      <c r="S3" s="69"/>
      <c r="T3" s="70">
        <f>4.5*2.08</f>
        <v>9.36</v>
      </c>
    </row>
    <row r="4" spans="2:20" ht="34" customHeight="1" x14ac:dyDescent="0.2">
      <c r="B4" s="9"/>
      <c r="C4" s="11"/>
      <c r="D4" s="21"/>
      <c r="E4" s="21"/>
      <c r="F4" s="25"/>
      <c r="G4" s="21"/>
      <c r="H4" s="26"/>
      <c r="I4" s="21"/>
      <c r="J4" s="26"/>
      <c r="K4" s="27"/>
      <c r="L4" s="9"/>
      <c r="M4" s="11"/>
      <c r="N4" s="21"/>
      <c r="O4" s="21"/>
      <c r="P4" s="25"/>
      <c r="Q4" s="21"/>
      <c r="R4" s="26"/>
      <c r="S4" s="21"/>
      <c r="T4" s="26"/>
    </row>
    <row r="5" spans="2:20" x14ac:dyDescent="0.2">
      <c r="B5" s="13">
        <v>50</v>
      </c>
      <c r="C5" s="33">
        <f>'2º Alta Frec'!G5</f>
        <v>61.047693842712036</v>
      </c>
      <c r="D5" s="33">
        <f>'1º Alta Frec'!M136</f>
        <v>82.132292621429713</v>
      </c>
      <c r="E5" s="33">
        <f>D5-C5</f>
        <v>21.084598778717677</v>
      </c>
      <c r="F5" s="18">
        <f>Datos!D165</f>
        <v>1.29</v>
      </c>
      <c r="G5" s="33">
        <v>0.5</v>
      </c>
      <c r="H5" s="14">
        <f>E5+(10*LOG10(F5/G5))</f>
        <v>25.200795838349979</v>
      </c>
      <c r="I5" s="65">
        <f>(0.16*4.5*2.08*2.5)/F5</f>
        <v>2.902325581395349</v>
      </c>
      <c r="J5" s="14">
        <f>E5+10*LOG10($J$3/I5)</f>
        <v>26.169895968430541</v>
      </c>
      <c r="K5" s="2"/>
      <c r="L5" s="13">
        <v>50</v>
      </c>
      <c r="M5" s="33">
        <f>'1º Alta Frec'!V6</f>
        <v>57.819293694056348</v>
      </c>
      <c r="N5" s="33">
        <f>'1º Alta Frec'!V136</f>
        <v>82.031487789706134</v>
      </c>
      <c r="O5" s="33">
        <f>N5-M5</f>
        <v>24.212194095649785</v>
      </c>
      <c r="P5" s="18">
        <f>Datos!D165</f>
        <v>1.29</v>
      </c>
      <c r="Q5" s="33">
        <v>0.5</v>
      </c>
      <c r="R5" s="14">
        <f>O5+(10*LOG10(P5/Q5))</f>
        <v>28.328391155282088</v>
      </c>
      <c r="S5" s="65">
        <f>(0.16*4.5*2.08*2.5)/P5</f>
        <v>2.902325581395349</v>
      </c>
      <c r="T5" s="14">
        <f t="shared" ref="T5:T25" si="0">O5+10*LOG10($T$3/S5)</f>
        <v>29.29749128536265</v>
      </c>
    </row>
    <row r="6" spans="2:20" x14ac:dyDescent="0.2">
      <c r="B6" s="13">
        <v>63</v>
      </c>
      <c r="C6" s="33">
        <f>'2º Alta Frec'!G6</f>
        <v>50.885519777909884</v>
      </c>
      <c r="D6" s="33">
        <f>'1º Alta Frec'!M137</f>
        <v>88.310856956242446</v>
      </c>
      <c r="E6" s="33">
        <f t="shared" ref="E6:E25" si="1">D6-C6</f>
        <v>37.425337178332562</v>
      </c>
      <c r="F6" s="18">
        <f>Datos!D166</f>
        <v>0.53</v>
      </c>
      <c r="G6" s="33">
        <v>0.5</v>
      </c>
      <c r="H6" s="14">
        <f>E6+(10*LOG10(F6/G6))</f>
        <v>37.678395830980264</v>
      </c>
      <c r="I6" s="65">
        <f t="shared" ref="I6:I25" si="2">(0.16*4.5*2.08*2.5)/F6</f>
        <v>7.0641509433962266</v>
      </c>
      <c r="J6" s="14">
        <f t="shared" ref="J6:J25" si="3">E6+10*LOG10($J$3/I6)</f>
        <v>38.647495961060827</v>
      </c>
      <c r="K6" s="2"/>
      <c r="L6" s="13">
        <v>63</v>
      </c>
      <c r="M6" s="33">
        <f>'1º Alta Frec'!V7</f>
        <v>41.74630326110681</v>
      </c>
      <c r="N6" s="33">
        <f>'1º Alta Frec'!V137</f>
        <v>84.926320880289765</v>
      </c>
      <c r="O6" s="33">
        <f t="shared" ref="O6:O25" si="4">N6-M6</f>
        <v>43.180017619182955</v>
      </c>
      <c r="P6" s="18">
        <f>Datos!D166</f>
        <v>0.53</v>
      </c>
      <c r="Q6" s="33">
        <v>0.5</v>
      </c>
      <c r="R6" s="14">
        <f t="shared" ref="R6:R25" si="5">O6+(10*LOG10(P6/Q6))</f>
        <v>43.433076271830657</v>
      </c>
      <c r="S6" s="65">
        <f t="shared" ref="S6:S25" si="6">(0.16*4.5*2.08*2.5)/P6</f>
        <v>7.0641509433962266</v>
      </c>
      <c r="T6" s="14">
        <f t="shared" si="0"/>
        <v>44.40217640191122</v>
      </c>
    </row>
    <row r="7" spans="2:20" x14ac:dyDescent="0.2">
      <c r="B7" s="13">
        <v>80</v>
      </c>
      <c r="C7" s="33">
        <f>'2º Alta Frec'!G7</f>
        <v>59.984939944526715</v>
      </c>
      <c r="D7" s="33">
        <f>'1º Alta Frec'!M138</f>
        <v>91.015487650389446</v>
      </c>
      <c r="E7" s="33">
        <f t="shared" si="1"/>
        <v>31.03054770586273</v>
      </c>
      <c r="F7" s="18">
        <f>Datos!D167</f>
        <v>0.52</v>
      </c>
      <c r="G7" s="33">
        <v>0.5</v>
      </c>
      <c r="H7" s="14">
        <f t="shared" ref="H7:H25" si="7">E7+(10*LOG10(F7/G7))</f>
        <v>31.200881098850534</v>
      </c>
      <c r="I7" s="65">
        <f t="shared" si="2"/>
        <v>7.2</v>
      </c>
      <c r="J7" s="14">
        <f t="shared" si="3"/>
        <v>32.1699812289311</v>
      </c>
      <c r="K7" s="2"/>
      <c r="L7" s="13">
        <v>80</v>
      </c>
      <c r="M7" s="33">
        <f>'1º Alta Frec'!V8</f>
        <v>48.447225396398785</v>
      </c>
      <c r="N7" s="33">
        <f>'1º Alta Frec'!V138</f>
        <v>92.31282432570346</v>
      </c>
      <c r="O7" s="33">
        <f t="shared" si="4"/>
        <v>43.865598929304674</v>
      </c>
      <c r="P7" s="18">
        <f>Datos!D167</f>
        <v>0.52</v>
      </c>
      <c r="Q7" s="33">
        <v>0.5</v>
      </c>
      <c r="R7" s="14">
        <f t="shared" si="5"/>
        <v>44.035932322292481</v>
      </c>
      <c r="S7" s="65">
        <f t="shared" si="6"/>
        <v>7.2</v>
      </c>
      <c r="T7" s="14">
        <f t="shared" si="0"/>
        <v>45.005032452373044</v>
      </c>
    </row>
    <row r="8" spans="2:20" x14ac:dyDescent="0.2">
      <c r="B8" s="13">
        <v>100</v>
      </c>
      <c r="C8" s="33">
        <f>'2º Alta Frec'!G8</f>
        <v>53.926802800208591</v>
      </c>
      <c r="D8" s="33">
        <f>'1º Alta Frec'!M139</f>
        <v>86.431467622932004</v>
      </c>
      <c r="E8" s="33">
        <f t="shared" si="1"/>
        <v>32.504664822723413</v>
      </c>
      <c r="F8" s="18">
        <f>Datos!D168</f>
        <v>0.93</v>
      </c>
      <c r="G8" s="33">
        <v>0.5</v>
      </c>
      <c r="H8" s="14">
        <f t="shared" si="7"/>
        <v>35.199794264902579</v>
      </c>
      <c r="I8" s="65">
        <f t="shared" si="2"/>
        <v>4.0258064516129028</v>
      </c>
      <c r="J8" s="14">
        <f t="shared" si="3"/>
        <v>36.168894394983141</v>
      </c>
      <c r="K8" s="2"/>
      <c r="L8" s="13">
        <v>100</v>
      </c>
      <c r="M8" s="33">
        <f>'1º Alta Frec'!V9</f>
        <v>47.59301708974489</v>
      </c>
      <c r="N8" s="33">
        <f>'1º Alta Frec'!V139</f>
        <v>89.281706899882906</v>
      </c>
      <c r="O8" s="33">
        <f t="shared" si="4"/>
        <v>41.688689810138015</v>
      </c>
      <c r="P8" s="18">
        <f>Datos!D168</f>
        <v>0.93</v>
      </c>
      <c r="Q8" s="33">
        <v>0.5</v>
      </c>
      <c r="R8" s="14">
        <f t="shared" si="5"/>
        <v>44.383819252317181</v>
      </c>
      <c r="S8" s="65">
        <f t="shared" si="6"/>
        <v>4.0258064516129028</v>
      </c>
      <c r="T8" s="14">
        <f t="shared" si="0"/>
        <v>45.352919382397744</v>
      </c>
    </row>
    <row r="9" spans="2:20" x14ac:dyDescent="0.2">
      <c r="B9" s="13">
        <v>125</v>
      </c>
      <c r="C9" s="33">
        <f>'2º Alta Frec'!G9</f>
        <v>58.814238149878832</v>
      </c>
      <c r="D9" s="33">
        <f>'1º Alta Frec'!M140</f>
        <v>90.655633621340854</v>
      </c>
      <c r="E9" s="33">
        <f t="shared" si="1"/>
        <v>31.841395471462022</v>
      </c>
      <c r="F9" s="18">
        <f>Datos!D169</f>
        <v>0.6</v>
      </c>
      <c r="G9" s="33">
        <v>0.5</v>
      </c>
      <c r="H9" s="14">
        <f t="shared" si="7"/>
        <v>32.633207931938273</v>
      </c>
      <c r="I9" s="65">
        <f t="shared" si="2"/>
        <v>6.24</v>
      </c>
      <c r="J9" s="14">
        <f t="shared" si="3"/>
        <v>33.602308062018835</v>
      </c>
      <c r="K9" s="2"/>
      <c r="L9" s="13">
        <v>125</v>
      </c>
      <c r="M9" s="33">
        <f>'1º Alta Frec'!V10</f>
        <v>57.520409291511918</v>
      </c>
      <c r="N9" s="33">
        <f>'1º Alta Frec'!V140</f>
        <v>90.726328452967522</v>
      </c>
      <c r="O9" s="33">
        <f t="shared" si="4"/>
        <v>33.205919161455604</v>
      </c>
      <c r="P9" s="18">
        <f>Datos!D169</f>
        <v>0.6</v>
      </c>
      <c r="Q9" s="33">
        <v>0.5</v>
      </c>
      <c r="R9" s="14">
        <f t="shared" si="5"/>
        <v>33.997731621931855</v>
      </c>
      <c r="S9" s="65">
        <f t="shared" si="6"/>
        <v>6.24</v>
      </c>
      <c r="T9" s="14">
        <f t="shared" si="0"/>
        <v>34.966831752012418</v>
      </c>
    </row>
    <row r="10" spans="2:20" x14ac:dyDescent="0.2">
      <c r="B10" s="13">
        <v>160</v>
      </c>
      <c r="C10" s="33">
        <f>'2º Alta Frec'!G10</f>
        <v>59.808364517411682</v>
      </c>
      <c r="D10" s="33">
        <f>'1º Alta Frec'!M141</f>
        <v>95.808701774882394</v>
      </c>
      <c r="E10" s="33">
        <f t="shared" si="1"/>
        <v>36.000337257470711</v>
      </c>
      <c r="F10" s="18">
        <f>Datos!D170</f>
        <v>0.56000000000000005</v>
      </c>
      <c r="G10" s="33">
        <v>0.5</v>
      </c>
      <c r="H10" s="14">
        <f t="shared" si="7"/>
        <v>36.492517484172531</v>
      </c>
      <c r="I10" s="65">
        <f t="shared" si="2"/>
        <v>6.6857142857142851</v>
      </c>
      <c r="J10" s="14">
        <f t="shared" si="3"/>
        <v>37.461617614253093</v>
      </c>
      <c r="K10" s="2"/>
      <c r="L10" s="13">
        <v>160</v>
      </c>
      <c r="M10" s="33">
        <f>'1º Alta Frec'!V11</f>
        <v>61.547044961222269</v>
      </c>
      <c r="N10" s="33">
        <f>'1º Alta Frec'!V141</f>
        <v>99.78235359811535</v>
      </c>
      <c r="O10" s="33">
        <f t="shared" si="4"/>
        <v>38.23530863689308</v>
      </c>
      <c r="P10" s="18">
        <f>Datos!D170</f>
        <v>0.56000000000000005</v>
      </c>
      <c r="Q10" s="33">
        <v>0.5</v>
      </c>
      <c r="R10" s="14">
        <f t="shared" si="5"/>
        <v>38.7274888635949</v>
      </c>
      <c r="S10" s="65">
        <f t="shared" si="6"/>
        <v>6.6857142857142851</v>
      </c>
      <c r="T10" s="14">
        <f t="shared" si="0"/>
        <v>39.696588993675462</v>
      </c>
    </row>
    <row r="11" spans="2:20" x14ac:dyDescent="0.2">
      <c r="B11" s="13">
        <v>200</v>
      </c>
      <c r="C11" s="33">
        <f>'2º Alta Frec'!G11</f>
        <v>59.323538683774899</v>
      </c>
      <c r="D11" s="33">
        <f>'1º Alta Frec'!M142</f>
        <v>100.47422799316259</v>
      </c>
      <c r="E11" s="33">
        <f t="shared" si="1"/>
        <v>41.150689309387687</v>
      </c>
      <c r="F11" s="18">
        <f>Datos!D171</f>
        <v>0.44</v>
      </c>
      <c r="G11" s="33">
        <v>0.5</v>
      </c>
      <c r="H11" s="14">
        <f t="shared" si="7"/>
        <v>40.595516030889371</v>
      </c>
      <c r="I11" s="65">
        <f t="shared" si="2"/>
        <v>8.5090909090909097</v>
      </c>
      <c r="J11" s="14">
        <f t="shared" si="3"/>
        <v>41.564616160969933</v>
      </c>
      <c r="K11" s="2"/>
      <c r="L11" s="13">
        <v>200</v>
      </c>
      <c r="M11" s="33">
        <f>'1º Alta Frec'!V12</f>
        <v>60.398700866969349</v>
      </c>
      <c r="N11" s="33">
        <f>'1º Alta Frec'!V142</f>
        <v>99.310550125029948</v>
      </c>
      <c r="O11" s="33">
        <f t="shared" si="4"/>
        <v>38.911849258060599</v>
      </c>
      <c r="P11" s="18">
        <f>Datos!D171</f>
        <v>0.44</v>
      </c>
      <c r="Q11" s="33">
        <v>0.5</v>
      </c>
      <c r="R11" s="14">
        <f t="shared" si="5"/>
        <v>38.356675979562283</v>
      </c>
      <c r="S11" s="65">
        <f t="shared" si="6"/>
        <v>8.5090909090909097</v>
      </c>
      <c r="T11" s="14">
        <f t="shared" si="0"/>
        <v>39.325776109642845</v>
      </c>
    </row>
    <row r="12" spans="2:20" x14ac:dyDescent="0.2">
      <c r="B12" s="13">
        <v>250</v>
      </c>
      <c r="C12" s="33">
        <f>'2º Alta Frec'!G12</f>
        <v>59.313837990393949</v>
      </c>
      <c r="D12" s="33">
        <f>'1º Alta Frec'!M143</f>
        <v>103.80847244544026</v>
      </c>
      <c r="E12" s="33">
        <f t="shared" si="1"/>
        <v>44.49463445504631</v>
      </c>
      <c r="F12" s="18">
        <f>Datos!D172</f>
        <v>0.52</v>
      </c>
      <c r="G12" s="33">
        <v>0.5</v>
      </c>
      <c r="H12" s="14">
        <f t="shared" si="7"/>
        <v>44.664967848034117</v>
      </c>
      <c r="I12" s="65">
        <f t="shared" si="2"/>
        <v>7.2</v>
      </c>
      <c r="J12" s="14">
        <f t="shared" si="3"/>
        <v>45.634067978114679</v>
      </c>
      <c r="K12" s="2"/>
      <c r="L12" s="13">
        <v>250</v>
      </c>
      <c r="M12" s="33">
        <f>'1º Alta Frec'!V13</f>
        <v>59.782156428143026</v>
      </c>
      <c r="N12" s="33">
        <f>'1º Alta Frec'!V143</f>
        <v>100.28524536613884</v>
      </c>
      <c r="O12" s="33">
        <f t="shared" si="4"/>
        <v>40.503088937995813</v>
      </c>
      <c r="P12" s="18">
        <f>Datos!D172</f>
        <v>0.52</v>
      </c>
      <c r="Q12" s="33">
        <v>0.5</v>
      </c>
      <c r="R12" s="14">
        <f t="shared" si="5"/>
        <v>40.67342233098362</v>
      </c>
      <c r="S12" s="65">
        <f t="shared" si="6"/>
        <v>7.2</v>
      </c>
      <c r="T12" s="14">
        <f t="shared" si="0"/>
        <v>41.642522461064182</v>
      </c>
    </row>
    <row r="13" spans="2:20" x14ac:dyDescent="0.2">
      <c r="B13" s="13">
        <v>315</v>
      </c>
      <c r="C13" s="33">
        <f>'2º Alta Frec'!G13</f>
        <v>61.932624016548139</v>
      </c>
      <c r="D13" s="33">
        <f>'1º Alta Frec'!M144</f>
        <v>102.6372922190758</v>
      </c>
      <c r="E13" s="33">
        <f t="shared" si="1"/>
        <v>40.704668202527664</v>
      </c>
      <c r="F13" s="18">
        <f>Datos!D173</f>
        <v>0.55000000000000004</v>
      </c>
      <c r="G13" s="33">
        <v>0.5</v>
      </c>
      <c r="H13" s="14">
        <f t="shared" si="7"/>
        <v>41.118595054109917</v>
      </c>
      <c r="I13" s="65">
        <f t="shared" si="2"/>
        <v>6.8072727272727267</v>
      </c>
      <c r="J13" s="14">
        <f t="shared" si="3"/>
        <v>42.08769518419048</v>
      </c>
      <c r="K13" s="2"/>
      <c r="L13" s="13">
        <v>315</v>
      </c>
      <c r="M13" s="33">
        <f>'1º Alta Frec'!V14</f>
        <v>63.1524224081734</v>
      </c>
      <c r="N13" s="33">
        <f>'1º Alta Frec'!V144</f>
        <v>102.04222928805258</v>
      </c>
      <c r="O13" s="33">
        <f t="shared" si="4"/>
        <v>38.889806879879181</v>
      </c>
      <c r="P13" s="18">
        <f>Datos!D173</f>
        <v>0.55000000000000004</v>
      </c>
      <c r="Q13" s="33">
        <v>0.5</v>
      </c>
      <c r="R13" s="14">
        <f t="shared" si="5"/>
        <v>39.303733731461435</v>
      </c>
      <c r="S13" s="65">
        <f t="shared" si="6"/>
        <v>6.8072727272727267</v>
      </c>
      <c r="T13" s="14">
        <f t="shared" si="0"/>
        <v>40.272833861541997</v>
      </c>
    </row>
    <row r="14" spans="2:20" x14ac:dyDescent="0.2">
      <c r="B14" s="13">
        <v>400</v>
      </c>
      <c r="C14" s="33">
        <f>'2º Alta Frec'!G14</f>
        <v>61.467825524824669</v>
      </c>
      <c r="D14" s="33">
        <f>'1º Alta Frec'!M145</f>
        <v>102.94377387021768</v>
      </c>
      <c r="E14" s="33">
        <f t="shared" si="1"/>
        <v>41.475948345393014</v>
      </c>
      <c r="F14" s="18">
        <f>Datos!D174</f>
        <v>0.43</v>
      </c>
      <c r="G14" s="33">
        <v>0.5</v>
      </c>
      <c r="H14" s="14">
        <f t="shared" si="7"/>
        <v>40.820932857828694</v>
      </c>
      <c r="I14" s="65">
        <f t="shared" si="2"/>
        <v>8.7069767441860471</v>
      </c>
      <c r="J14" s="14">
        <f t="shared" si="3"/>
        <v>41.790032987909257</v>
      </c>
      <c r="K14" s="2"/>
      <c r="L14" s="13">
        <v>400</v>
      </c>
      <c r="M14" s="33">
        <f>'1º Alta Frec'!V15</f>
        <v>60.179928646808094</v>
      </c>
      <c r="N14" s="33">
        <f>'1º Alta Frec'!V145</f>
        <v>102.06166313032973</v>
      </c>
      <c r="O14" s="33">
        <f t="shared" si="4"/>
        <v>41.88173448352164</v>
      </c>
      <c r="P14" s="18">
        <f>Datos!D174</f>
        <v>0.43</v>
      </c>
      <c r="Q14" s="33">
        <v>0.5</v>
      </c>
      <c r="R14" s="14">
        <f t="shared" si="5"/>
        <v>41.22671899595732</v>
      </c>
      <c r="S14" s="65">
        <f t="shared" si="6"/>
        <v>8.7069767441860471</v>
      </c>
      <c r="T14" s="14">
        <f t="shared" si="0"/>
        <v>42.195819126037883</v>
      </c>
    </row>
    <row r="15" spans="2:20" x14ac:dyDescent="0.2">
      <c r="B15" s="13">
        <v>500</v>
      </c>
      <c r="C15" s="33">
        <f>'2º Alta Frec'!G15</f>
        <v>57.281997478535125</v>
      </c>
      <c r="D15" s="33">
        <f>'1º Alta Frec'!M146</f>
        <v>101.01556020621683</v>
      </c>
      <c r="E15" s="33">
        <f t="shared" si="1"/>
        <v>43.733562727681708</v>
      </c>
      <c r="F15" s="18">
        <f>Datos!D175</f>
        <v>0.38</v>
      </c>
      <c r="G15" s="33">
        <v>0.5</v>
      </c>
      <c r="H15" s="14">
        <f t="shared" si="7"/>
        <v>42.541698650489622</v>
      </c>
      <c r="I15" s="65">
        <f t="shared" si="2"/>
        <v>9.8526315789473689</v>
      </c>
      <c r="J15" s="14">
        <f t="shared" si="3"/>
        <v>43.510798780570184</v>
      </c>
      <c r="K15" s="2"/>
      <c r="L15" s="13">
        <v>500</v>
      </c>
      <c r="M15" s="33">
        <f>'1º Alta Frec'!V16</f>
        <v>57.336073741546457</v>
      </c>
      <c r="N15" s="33">
        <f>'1º Alta Frec'!V146</f>
        <v>101.22517207481599</v>
      </c>
      <c r="O15" s="33">
        <f t="shared" si="4"/>
        <v>43.88909833326953</v>
      </c>
      <c r="P15" s="18">
        <f>Datos!D175</f>
        <v>0.38</v>
      </c>
      <c r="Q15" s="33">
        <v>0.5</v>
      </c>
      <c r="R15" s="14">
        <f t="shared" si="5"/>
        <v>42.697234256077444</v>
      </c>
      <c r="S15" s="65">
        <f t="shared" si="6"/>
        <v>9.8526315789473689</v>
      </c>
      <c r="T15" s="14">
        <f t="shared" si="0"/>
        <v>43.666334386158006</v>
      </c>
    </row>
    <row r="16" spans="2:20" x14ac:dyDescent="0.2">
      <c r="B16" s="13">
        <v>630</v>
      </c>
      <c r="C16" s="33">
        <f>'2º Alta Frec'!G16</f>
        <v>52.178802718145576</v>
      </c>
      <c r="D16" s="33">
        <f>'1º Alta Frec'!M147</f>
        <v>100.30590032935278</v>
      </c>
      <c r="E16" s="33">
        <f t="shared" si="1"/>
        <v>48.127097611207205</v>
      </c>
      <c r="F16" s="18">
        <f>Datos!D176</f>
        <v>0.41</v>
      </c>
      <c r="G16" s="33">
        <v>0.5</v>
      </c>
      <c r="H16" s="14">
        <f t="shared" si="7"/>
        <v>47.265236135044368</v>
      </c>
      <c r="I16" s="65">
        <f t="shared" si="2"/>
        <v>9.1317073170731717</v>
      </c>
      <c r="J16" s="14">
        <f t="shared" si="3"/>
        <v>48.234336265124938</v>
      </c>
      <c r="K16" s="2"/>
      <c r="L16" s="13">
        <v>630</v>
      </c>
      <c r="M16" s="33">
        <f>'1º Alta Frec'!V17</f>
        <v>52.115216971622502</v>
      </c>
      <c r="N16" s="33">
        <f>'1º Alta Frec'!V147</f>
        <v>101.06695423228004</v>
      </c>
      <c r="O16" s="33">
        <f t="shared" si="4"/>
        <v>48.951737260657538</v>
      </c>
      <c r="P16" s="18">
        <f>Datos!D176</f>
        <v>0.41</v>
      </c>
      <c r="Q16" s="33">
        <v>0.5</v>
      </c>
      <c r="R16" s="14">
        <f t="shared" si="5"/>
        <v>48.089875784494701</v>
      </c>
      <c r="S16" s="65">
        <f t="shared" si="6"/>
        <v>9.1317073170731717</v>
      </c>
      <c r="T16" s="14">
        <f t="shared" si="0"/>
        <v>49.058975914575271</v>
      </c>
    </row>
    <row r="17" spans="2:20" x14ac:dyDescent="0.2">
      <c r="B17" s="13">
        <v>800</v>
      </c>
      <c r="C17" s="33">
        <f>'2º Alta Frec'!G17</f>
        <v>49.223937729612082</v>
      </c>
      <c r="D17" s="33">
        <f>'1º Alta Frec'!M148</f>
        <v>100.00701942291592</v>
      </c>
      <c r="E17" s="33">
        <f t="shared" si="1"/>
        <v>50.783081693303835</v>
      </c>
      <c r="F17" s="18">
        <f>Datos!D177</f>
        <v>0.44</v>
      </c>
      <c r="G17" s="33">
        <v>0.5</v>
      </c>
      <c r="H17" s="14">
        <f t="shared" si="7"/>
        <v>50.227908414805519</v>
      </c>
      <c r="I17" s="65">
        <f t="shared" si="2"/>
        <v>8.5090909090909097</v>
      </c>
      <c r="J17" s="14">
        <f t="shared" si="3"/>
        <v>51.197008544886081</v>
      </c>
      <c r="K17" s="2"/>
      <c r="L17" s="13">
        <v>800</v>
      </c>
      <c r="M17" s="33">
        <f>'1º Alta Frec'!V18</f>
        <v>49.371295719863106</v>
      </c>
      <c r="N17" s="33">
        <f>'1º Alta Frec'!V148</f>
        <v>99.397664924240672</v>
      </c>
      <c r="O17" s="33">
        <f t="shared" si="4"/>
        <v>50.026369204377566</v>
      </c>
      <c r="P17" s="18">
        <f>Datos!D177</f>
        <v>0.44</v>
      </c>
      <c r="Q17" s="33">
        <v>0.5</v>
      </c>
      <c r="R17" s="14">
        <f t="shared" si="5"/>
        <v>49.47119592587925</v>
      </c>
      <c r="S17" s="65">
        <f t="shared" si="6"/>
        <v>8.5090909090909097</v>
      </c>
      <c r="T17" s="14">
        <f t="shared" si="0"/>
        <v>50.440296055959813</v>
      </c>
    </row>
    <row r="18" spans="2:20" x14ac:dyDescent="0.2">
      <c r="B18" s="13">
        <v>1000</v>
      </c>
      <c r="C18" s="33">
        <f>'2º Alta Frec'!G18</f>
        <v>47.056554989526404</v>
      </c>
      <c r="D18" s="33">
        <f>'1º Alta Frec'!M149</f>
        <v>99.43479692586493</v>
      </c>
      <c r="E18" s="33">
        <f t="shared" si="1"/>
        <v>52.378241936338526</v>
      </c>
      <c r="F18" s="18">
        <f>Datos!D178</f>
        <v>0.5</v>
      </c>
      <c r="G18" s="33">
        <v>0.5</v>
      </c>
      <c r="H18" s="14">
        <f t="shared" si="7"/>
        <v>52.378241936338526</v>
      </c>
      <c r="I18" s="65">
        <f t="shared" si="2"/>
        <v>7.4880000000000004</v>
      </c>
      <c r="J18" s="14">
        <f t="shared" si="3"/>
        <v>53.347342066419088</v>
      </c>
      <c r="K18" s="2"/>
      <c r="L18" s="13">
        <v>1000</v>
      </c>
      <c r="M18" s="33">
        <f>'1º Alta Frec'!V19</f>
        <v>47.539214695951955</v>
      </c>
      <c r="N18" s="33">
        <f>'1º Alta Frec'!V149</f>
        <v>98.614582815526859</v>
      </c>
      <c r="O18" s="33">
        <f t="shared" si="4"/>
        <v>51.075368119574904</v>
      </c>
      <c r="P18" s="18">
        <f>Datos!D178</f>
        <v>0.5</v>
      </c>
      <c r="Q18" s="33">
        <v>0.5</v>
      </c>
      <c r="R18" s="14">
        <f t="shared" si="5"/>
        <v>51.075368119574904</v>
      </c>
      <c r="S18" s="65">
        <f t="shared" si="6"/>
        <v>7.4880000000000004</v>
      </c>
      <c r="T18" s="14">
        <f t="shared" si="0"/>
        <v>52.044468249655466</v>
      </c>
    </row>
    <row r="19" spans="2:20" x14ac:dyDescent="0.2">
      <c r="B19" s="13">
        <v>1250</v>
      </c>
      <c r="C19" s="33">
        <f>'2º Alta Frec'!G19</f>
        <v>45.62805797706104</v>
      </c>
      <c r="D19" s="33">
        <f>'1º Alta Frec'!M150</f>
        <v>96.943613386223944</v>
      </c>
      <c r="E19" s="33">
        <f t="shared" si="1"/>
        <v>51.315555409162904</v>
      </c>
      <c r="F19" s="18">
        <f>Datos!D179</f>
        <v>0.44</v>
      </c>
      <c r="G19" s="33">
        <v>0.5</v>
      </c>
      <c r="H19" s="14">
        <f t="shared" si="7"/>
        <v>50.760382130664588</v>
      </c>
      <c r="I19" s="65">
        <f t="shared" si="2"/>
        <v>8.5090909090909097</v>
      </c>
      <c r="J19" s="14">
        <f t="shared" si="3"/>
        <v>51.729482260745151</v>
      </c>
      <c r="K19" s="2"/>
      <c r="L19" s="13">
        <v>1250</v>
      </c>
      <c r="M19" s="33">
        <f>'1º Alta Frec'!V20</f>
        <v>46.765290658784139</v>
      </c>
      <c r="N19" s="33">
        <f>'1º Alta Frec'!V150</f>
        <v>96.938807618099233</v>
      </c>
      <c r="O19" s="33">
        <f t="shared" si="4"/>
        <v>50.173516959315094</v>
      </c>
      <c r="P19" s="18">
        <f>Datos!D179</f>
        <v>0.44</v>
      </c>
      <c r="Q19" s="33">
        <v>0.5</v>
      </c>
      <c r="R19" s="14">
        <f t="shared" si="5"/>
        <v>49.618343680816778</v>
      </c>
      <c r="S19" s="65">
        <f t="shared" si="6"/>
        <v>8.5090909090909097</v>
      </c>
      <c r="T19" s="14">
        <f t="shared" si="0"/>
        <v>50.587443810897341</v>
      </c>
    </row>
    <row r="20" spans="2:20" x14ac:dyDescent="0.2">
      <c r="B20" s="13">
        <v>1600</v>
      </c>
      <c r="C20" s="33">
        <f>'2º Alta Frec'!G20</f>
        <v>43.962104251281822</v>
      </c>
      <c r="D20" s="33">
        <f>'1º Alta Frec'!M151</f>
        <v>96.310592484720047</v>
      </c>
      <c r="E20" s="33">
        <f t="shared" si="1"/>
        <v>52.348488233438225</v>
      </c>
      <c r="F20" s="18">
        <f>Datos!D180</f>
        <v>0.45</v>
      </c>
      <c r="G20" s="33">
        <v>0.5</v>
      </c>
      <c r="H20" s="14">
        <f t="shared" si="7"/>
        <v>51.890913327831477</v>
      </c>
      <c r="I20" s="65">
        <f t="shared" si="2"/>
        <v>8.32</v>
      </c>
      <c r="J20" s="14">
        <f t="shared" si="3"/>
        <v>52.860013457912039</v>
      </c>
      <c r="K20" s="2"/>
      <c r="L20" s="13">
        <v>1600</v>
      </c>
      <c r="M20" s="33">
        <f>'1º Alta Frec'!V21</f>
        <v>44.866316478168649</v>
      </c>
      <c r="N20" s="33">
        <f>'1º Alta Frec'!V151</f>
        <v>95.758208487809199</v>
      </c>
      <c r="O20" s="33">
        <f t="shared" si="4"/>
        <v>50.89189200964055</v>
      </c>
      <c r="P20" s="18">
        <f>Datos!D180</f>
        <v>0.45</v>
      </c>
      <c r="Q20" s="33">
        <v>0.5</v>
      </c>
      <c r="R20" s="14">
        <f t="shared" si="5"/>
        <v>50.434317104033802</v>
      </c>
      <c r="S20" s="65">
        <f t="shared" si="6"/>
        <v>8.32</v>
      </c>
      <c r="T20" s="14">
        <f t="shared" si="0"/>
        <v>51.403417234114364</v>
      </c>
    </row>
    <row r="21" spans="2:20" x14ac:dyDescent="0.2">
      <c r="B21" s="13">
        <v>2000</v>
      </c>
      <c r="C21" s="33">
        <f>'2º Alta Frec'!G21</f>
        <v>44.469718789996662</v>
      </c>
      <c r="D21" s="33">
        <f>'1º Alta Frec'!M152</f>
        <v>96.339095098131665</v>
      </c>
      <c r="E21" s="33">
        <f t="shared" si="1"/>
        <v>51.869376308135003</v>
      </c>
      <c r="F21" s="18">
        <f>Datos!D181</f>
        <v>0.43</v>
      </c>
      <c r="G21" s="33">
        <v>0.5</v>
      </c>
      <c r="H21" s="14">
        <f t="shared" si="7"/>
        <v>51.214360820570683</v>
      </c>
      <c r="I21" s="65">
        <f t="shared" si="2"/>
        <v>8.7069767441860471</v>
      </c>
      <c r="J21" s="14">
        <f t="shared" si="3"/>
        <v>52.183460950651245</v>
      </c>
      <c r="K21" s="2"/>
      <c r="L21" s="13">
        <v>2000</v>
      </c>
      <c r="M21" s="33">
        <f>'1º Alta Frec'!V22</f>
        <v>45.402605457127606</v>
      </c>
      <c r="N21" s="33">
        <f>'1º Alta Frec'!V152</f>
        <v>95.723820328479519</v>
      </c>
      <c r="O21" s="33">
        <f t="shared" si="4"/>
        <v>50.321214871351913</v>
      </c>
      <c r="P21" s="18">
        <f>Datos!D181</f>
        <v>0.43</v>
      </c>
      <c r="Q21" s="33">
        <v>0.5</v>
      </c>
      <c r="R21" s="14">
        <f t="shared" si="5"/>
        <v>49.666199383787593</v>
      </c>
      <c r="S21" s="65">
        <f t="shared" si="6"/>
        <v>8.7069767441860471</v>
      </c>
      <c r="T21" s="14">
        <f t="shared" si="0"/>
        <v>50.635299513868155</v>
      </c>
    </row>
    <row r="22" spans="2:20" x14ac:dyDescent="0.2">
      <c r="B22" s="13">
        <v>2500</v>
      </c>
      <c r="C22" s="33">
        <f>'2º Alta Frec'!G22</f>
        <v>50.407145471981003</v>
      </c>
      <c r="D22" s="33">
        <f>'1º Alta Frec'!M153</f>
        <v>97.690323218009212</v>
      </c>
      <c r="E22" s="33">
        <f t="shared" si="1"/>
        <v>47.283177746028208</v>
      </c>
      <c r="F22" s="18">
        <f>Datos!D182</f>
        <v>0.43</v>
      </c>
      <c r="G22" s="33">
        <v>0.5</v>
      </c>
      <c r="H22" s="14">
        <f t="shared" si="7"/>
        <v>46.628162258463888</v>
      </c>
      <c r="I22" s="65">
        <f t="shared" si="2"/>
        <v>8.7069767441860471</v>
      </c>
      <c r="J22" s="14">
        <f t="shared" si="3"/>
        <v>47.597262388544451</v>
      </c>
      <c r="K22" s="2"/>
      <c r="L22" s="13">
        <v>2500</v>
      </c>
      <c r="M22" s="33">
        <f>'1º Alta Frec'!V23</f>
        <v>51.852272487472845</v>
      </c>
      <c r="N22" s="33">
        <f>'1º Alta Frec'!V153</f>
        <v>97.498907411787471</v>
      </c>
      <c r="O22" s="33">
        <f t="shared" si="4"/>
        <v>45.646634924314625</v>
      </c>
      <c r="P22" s="18">
        <f>Datos!D182</f>
        <v>0.43</v>
      </c>
      <c r="Q22" s="33">
        <v>0.5</v>
      </c>
      <c r="R22" s="14">
        <f t="shared" si="5"/>
        <v>44.991619436750305</v>
      </c>
      <c r="S22" s="65">
        <f t="shared" si="6"/>
        <v>8.7069767441860471</v>
      </c>
      <c r="T22" s="14">
        <f t="shared" si="0"/>
        <v>45.960719566830868</v>
      </c>
    </row>
    <row r="23" spans="2:20" x14ac:dyDescent="0.2">
      <c r="B23" s="13">
        <v>3150</v>
      </c>
      <c r="C23" s="33">
        <f>'2º Alta Frec'!G23</f>
        <v>51.681472753214152</v>
      </c>
      <c r="D23" s="33">
        <f>'1º Alta Frec'!M154</f>
        <v>94.948039538528775</v>
      </c>
      <c r="E23" s="33">
        <f t="shared" si="1"/>
        <v>43.266566785314623</v>
      </c>
      <c r="F23" s="18">
        <f>Datos!D183</f>
        <v>0.41</v>
      </c>
      <c r="G23" s="33">
        <v>0.5</v>
      </c>
      <c r="H23" s="14">
        <f t="shared" si="7"/>
        <v>42.404705309151787</v>
      </c>
      <c r="I23" s="65">
        <f t="shared" si="2"/>
        <v>9.1317073170731717</v>
      </c>
      <c r="J23" s="14">
        <f t="shared" si="3"/>
        <v>43.373805439232356</v>
      </c>
      <c r="K23" s="2"/>
      <c r="L23" s="13">
        <v>3150</v>
      </c>
      <c r="M23" s="33">
        <f>'1º Alta Frec'!V24</f>
        <v>53.731079260149173</v>
      </c>
      <c r="N23" s="33">
        <f>'1º Alta Frec'!V154</f>
        <v>95.202465835333484</v>
      </c>
      <c r="O23" s="33">
        <f t="shared" si="4"/>
        <v>41.471386575184312</v>
      </c>
      <c r="P23" s="18">
        <f>Datos!D183</f>
        <v>0.41</v>
      </c>
      <c r="Q23" s="33">
        <v>0.5</v>
      </c>
      <c r="R23" s="14">
        <f t="shared" si="5"/>
        <v>40.609525099021475</v>
      </c>
      <c r="S23" s="65">
        <f t="shared" si="6"/>
        <v>9.1317073170731717</v>
      </c>
      <c r="T23" s="14">
        <f t="shared" si="0"/>
        <v>41.578625229102045</v>
      </c>
    </row>
    <row r="24" spans="2:20" x14ac:dyDescent="0.2">
      <c r="B24" s="13">
        <v>4000</v>
      </c>
      <c r="C24" s="33">
        <f>'2º Alta Frec'!G24</f>
        <v>47.122976495568132</v>
      </c>
      <c r="D24" s="33">
        <f>'1º Alta Frec'!M155</f>
        <v>91.671707665190198</v>
      </c>
      <c r="E24" s="33">
        <f t="shared" si="1"/>
        <v>44.548731169622066</v>
      </c>
      <c r="F24" s="18">
        <f>Datos!D184</f>
        <v>0.4</v>
      </c>
      <c r="G24" s="33">
        <v>0.5</v>
      </c>
      <c r="H24" s="14">
        <f t="shared" si="7"/>
        <v>43.579631039541503</v>
      </c>
      <c r="I24" s="65">
        <f t="shared" si="2"/>
        <v>9.36</v>
      </c>
      <c r="J24" s="14">
        <f t="shared" si="3"/>
        <v>44.548731169622066</v>
      </c>
      <c r="K24" s="2"/>
      <c r="L24" s="13">
        <v>4000</v>
      </c>
      <c r="M24" s="33">
        <f>'1º Alta Frec'!V25</f>
        <v>47.890187932807642</v>
      </c>
      <c r="N24" s="33">
        <f>'1º Alta Frec'!V155</f>
        <v>91.39499958759076</v>
      </c>
      <c r="O24" s="33">
        <f t="shared" si="4"/>
        <v>43.504811654783119</v>
      </c>
      <c r="P24" s="18">
        <f>Datos!D184</f>
        <v>0.4</v>
      </c>
      <c r="Q24" s="33">
        <v>0.5</v>
      </c>
      <c r="R24" s="14">
        <f t="shared" si="5"/>
        <v>42.535711524702556</v>
      </c>
      <c r="S24" s="65">
        <f t="shared" si="6"/>
        <v>9.36</v>
      </c>
      <c r="T24" s="14">
        <f t="shared" si="0"/>
        <v>43.504811654783119</v>
      </c>
    </row>
    <row r="25" spans="2:20" x14ac:dyDescent="0.2">
      <c r="B25" s="15">
        <v>5000</v>
      </c>
      <c r="C25" s="23">
        <f>'2º Alta Frec'!G25</f>
        <v>40.714775888036094</v>
      </c>
      <c r="D25" s="23">
        <f>'1º Alta Frec'!M156</f>
        <v>90.434424856601353</v>
      </c>
      <c r="E25" s="23">
        <f t="shared" si="1"/>
        <v>49.719648968565259</v>
      </c>
      <c r="F25" s="16">
        <f>Datos!D185</f>
        <v>0.39</v>
      </c>
      <c r="G25" s="23">
        <v>0.5</v>
      </c>
      <c r="H25" s="17">
        <f t="shared" si="7"/>
        <v>48.64059499547006</v>
      </c>
      <c r="I25" s="67">
        <f t="shared" si="2"/>
        <v>9.6</v>
      </c>
      <c r="J25" s="17">
        <f t="shared" si="3"/>
        <v>49.60969512555063</v>
      </c>
      <c r="K25" s="2"/>
      <c r="L25" s="15">
        <v>5000</v>
      </c>
      <c r="M25" s="23">
        <f>'1º Alta Frec'!V26</f>
        <v>41.06437383021138</v>
      </c>
      <c r="N25" s="23">
        <f>'1º Alta Frec'!V156</f>
        <v>90.149547037188398</v>
      </c>
      <c r="O25" s="23">
        <f t="shared" si="4"/>
        <v>49.085173206977018</v>
      </c>
      <c r="P25" s="16">
        <f>Datos!D185</f>
        <v>0.39</v>
      </c>
      <c r="Q25" s="23">
        <v>0.5</v>
      </c>
      <c r="R25" s="17">
        <f t="shared" si="5"/>
        <v>48.006119233881819</v>
      </c>
      <c r="S25" s="67">
        <f t="shared" si="6"/>
        <v>9.6</v>
      </c>
      <c r="T25" s="17">
        <f t="shared" si="0"/>
        <v>48.975219363962388</v>
      </c>
    </row>
    <row r="28" spans="2:20" x14ac:dyDescent="0.2">
      <c r="B28" s="181" t="s">
        <v>43</v>
      </c>
      <c r="C28" s="182"/>
      <c r="D28" s="182"/>
      <c r="E28" s="182"/>
      <c r="F28" s="182"/>
      <c r="G28" s="182"/>
      <c r="H28" s="182"/>
      <c r="I28" s="182"/>
      <c r="J28" s="183"/>
      <c r="K28" s="2"/>
      <c r="L28" s="172" t="s">
        <v>43</v>
      </c>
      <c r="M28" s="173"/>
      <c r="N28" s="173"/>
      <c r="O28" s="173"/>
      <c r="P28" s="173"/>
      <c r="Q28" s="173"/>
      <c r="R28" s="173"/>
      <c r="S28" s="173"/>
      <c r="T28" s="174"/>
    </row>
    <row r="29" spans="2:20" ht="23" customHeight="1" x14ac:dyDescent="0.2">
      <c r="B29" s="162" t="s">
        <v>25</v>
      </c>
      <c r="C29" s="163"/>
      <c r="D29" s="163"/>
      <c r="E29" s="163"/>
      <c r="F29" s="163"/>
      <c r="G29" s="163"/>
      <c r="H29" s="164"/>
      <c r="I29" s="69"/>
      <c r="J29" s="70">
        <f>2.5*2.08</f>
        <v>5.2</v>
      </c>
      <c r="K29" s="2"/>
      <c r="L29" s="168" t="s">
        <v>28</v>
      </c>
      <c r="M29" s="169"/>
      <c r="N29" s="169"/>
      <c r="O29" s="169"/>
      <c r="P29" s="169"/>
      <c r="Q29" s="169"/>
      <c r="R29" s="170"/>
      <c r="S29" s="63"/>
      <c r="T29" s="64">
        <f>2.5*2.08</f>
        <v>5.2</v>
      </c>
    </row>
    <row r="30" spans="2:20" ht="34" customHeight="1" x14ac:dyDescent="0.2">
      <c r="B30" s="9"/>
      <c r="C30" s="11"/>
      <c r="D30" s="21"/>
      <c r="E30" s="21"/>
      <c r="F30" s="25"/>
      <c r="G30" s="21"/>
      <c r="H30" s="26"/>
      <c r="I30" s="21"/>
      <c r="J30" s="26"/>
      <c r="K30" s="27"/>
      <c r="L30" s="9"/>
      <c r="M30" s="11"/>
      <c r="N30" s="21"/>
      <c r="O30" s="21"/>
      <c r="P30" s="25"/>
      <c r="Q30" s="21"/>
      <c r="R30" s="26"/>
      <c r="S30" s="21"/>
      <c r="T30" s="26"/>
    </row>
    <row r="31" spans="2:20" x14ac:dyDescent="0.2">
      <c r="B31" s="13">
        <v>50</v>
      </c>
      <c r="C31" s="33">
        <f>'2º Alta Frec'!G31</f>
        <v>72.641010619606988</v>
      </c>
      <c r="D31" s="33">
        <f>'1º Alta Frec'!M162</f>
        <v>81.597109097444601</v>
      </c>
      <c r="E31" s="33">
        <f>D31-C31</f>
        <v>8.9560984778376138</v>
      </c>
      <c r="F31" s="18">
        <f>Datos!D165</f>
        <v>1.29</v>
      </c>
      <c r="G31" s="33">
        <v>0.5</v>
      </c>
      <c r="H31" s="14">
        <f>E31+(10*LOG10(F31/G31))</f>
        <v>13.072295537469916</v>
      </c>
      <c r="I31" s="65">
        <f>(0.16*4.5*2.08*2.5)/F31</f>
        <v>2.902325581395349</v>
      </c>
      <c r="J31" s="14">
        <f t="shared" ref="J31:J51" si="8">E31+10*LOG10($J$29/I31)</f>
        <v>11.488670616517417</v>
      </c>
      <c r="K31" s="2"/>
      <c r="L31" s="13">
        <v>50</v>
      </c>
      <c r="M31" s="33">
        <f>'2º Alta Frec'!N31</f>
        <v>71.011640659216425</v>
      </c>
      <c r="N31" s="33">
        <f>'1º Alta Frec'!V162</f>
        <v>88.402350710604836</v>
      </c>
      <c r="O31" s="33">
        <f>N31-M31</f>
        <v>17.39071005138841</v>
      </c>
      <c r="P31" s="18">
        <f>Datos!D165</f>
        <v>1.29</v>
      </c>
      <c r="Q31" s="33">
        <v>0.5</v>
      </c>
      <c r="R31" s="14">
        <f>O31+(10*LOG10(P31/Q31))</f>
        <v>21.506907111020713</v>
      </c>
      <c r="S31" s="65">
        <f>(0.16*4.5*2.08*2.5)/P31</f>
        <v>2.902325581395349</v>
      </c>
      <c r="T31" s="14">
        <f t="shared" ref="T31:T51" si="9">O31+10*LOG10($T$29/S31)</f>
        <v>19.923282190068214</v>
      </c>
    </row>
    <row r="32" spans="2:20" x14ac:dyDescent="0.2">
      <c r="B32" s="13">
        <v>63</v>
      </c>
      <c r="C32" s="33">
        <f>'2º Alta Frec'!G32</f>
        <v>71.914584451858062</v>
      </c>
      <c r="D32" s="33">
        <f>'1º Alta Frec'!M163</f>
        <v>81.597109097444601</v>
      </c>
      <c r="E32" s="33">
        <f t="shared" ref="E32:E51" si="10">D32-C32</f>
        <v>9.6825246455865397</v>
      </c>
      <c r="F32" s="18">
        <f>Datos!D166</f>
        <v>0.53</v>
      </c>
      <c r="G32" s="33">
        <v>0.5</v>
      </c>
      <c r="H32" s="14">
        <f t="shared" ref="H32:H51" si="11">E32+(10*LOG10(F32/G32))</f>
        <v>9.935583298234242</v>
      </c>
      <c r="I32" s="65">
        <f t="shared" ref="I32:I51" si="12">(0.16*4.5*2.08*2.5)/F32</f>
        <v>7.0641509433962266</v>
      </c>
      <c r="J32" s="14">
        <f t="shared" si="8"/>
        <v>8.3519583772817452</v>
      </c>
      <c r="K32" s="2"/>
      <c r="L32" s="13">
        <v>63</v>
      </c>
      <c r="M32" s="33">
        <f>'2º Alta Frec'!N32</f>
        <v>65.092617551720139</v>
      </c>
      <c r="N32" s="33">
        <f>'1º Alta Frec'!V163</f>
        <v>97.356613476376396</v>
      </c>
      <c r="O32" s="33">
        <f t="shared" ref="O32:O51" si="13">N32-M32</f>
        <v>32.263995924656257</v>
      </c>
      <c r="P32" s="18">
        <f>Datos!D166</f>
        <v>0.53</v>
      </c>
      <c r="Q32" s="33">
        <v>0.5</v>
      </c>
      <c r="R32" s="14">
        <f t="shared" ref="R32:R50" si="14">O32+(10*LOG10(P32/Q32))</f>
        <v>32.517054577303959</v>
      </c>
      <c r="S32" s="65">
        <f t="shared" ref="S32:S51" si="15">(0.16*4.5*2.08*2.5)/P32</f>
        <v>7.0641509433962266</v>
      </c>
      <c r="T32" s="14">
        <f t="shared" si="9"/>
        <v>30.933429656351464</v>
      </c>
    </row>
    <row r="33" spans="2:20" x14ac:dyDescent="0.2">
      <c r="B33" s="13">
        <v>80</v>
      </c>
      <c r="C33" s="33">
        <f>'2º Alta Frec'!G33</f>
        <v>84.941860930615377</v>
      </c>
      <c r="D33" s="33">
        <f>'1º Alta Frec'!M164</f>
        <v>93.483219777003569</v>
      </c>
      <c r="E33" s="33">
        <f t="shared" si="10"/>
        <v>8.5413588463881922</v>
      </c>
      <c r="F33" s="18">
        <f>Datos!D167</f>
        <v>0.52</v>
      </c>
      <c r="G33" s="33">
        <v>0.5</v>
      </c>
      <c r="H33" s="14">
        <f t="shared" si="11"/>
        <v>8.7116922393759957</v>
      </c>
      <c r="I33" s="65">
        <f t="shared" si="12"/>
        <v>7.2</v>
      </c>
      <c r="J33" s="14">
        <f t="shared" si="8"/>
        <v>7.1280673184234988</v>
      </c>
      <c r="K33" s="2"/>
      <c r="L33" s="13">
        <v>80</v>
      </c>
      <c r="M33" s="33">
        <f>'2º Alta Frec'!N33</f>
        <v>76.907621959793659</v>
      </c>
      <c r="N33" s="33">
        <f>'1º Alta Frec'!V164</f>
        <v>93.925089223427136</v>
      </c>
      <c r="O33" s="33">
        <f t="shared" si="13"/>
        <v>17.017467263633478</v>
      </c>
      <c r="P33" s="18">
        <f>Datos!D167</f>
        <v>0.52</v>
      </c>
      <c r="Q33" s="33">
        <v>0.5</v>
      </c>
      <c r="R33" s="14">
        <f t="shared" si="14"/>
        <v>17.187800656621281</v>
      </c>
      <c r="S33" s="65">
        <f t="shared" si="15"/>
        <v>7.2</v>
      </c>
      <c r="T33" s="14">
        <f t="shared" si="9"/>
        <v>15.604175735668784</v>
      </c>
    </row>
    <row r="34" spans="2:20" x14ac:dyDescent="0.2">
      <c r="B34" s="13">
        <v>100</v>
      </c>
      <c r="C34" s="33">
        <f>'2º Alta Frec'!G34</f>
        <v>78.558868239726365</v>
      </c>
      <c r="D34" s="33">
        <f>'1º Alta Frec'!M165</f>
        <v>95.912934435542013</v>
      </c>
      <c r="E34" s="33">
        <f t="shared" si="10"/>
        <v>17.354066195815648</v>
      </c>
      <c r="F34" s="18">
        <f>Datos!D168</f>
        <v>0.93</v>
      </c>
      <c r="G34" s="33">
        <v>0.5</v>
      </c>
      <c r="H34" s="14">
        <f t="shared" si="11"/>
        <v>20.04919563799481</v>
      </c>
      <c r="I34" s="65">
        <f t="shared" si="12"/>
        <v>4.0258064516129028</v>
      </c>
      <c r="J34" s="14">
        <f t="shared" si="8"/>
        <v>18.465570717042315</v>
      </c>
      <c r="K34" s="2"/>
      <c r="L34" s="13">
        <v>100</v>
      </c>
      <c r="M34" s="33">
        <f>'2º Alta Frec'!N34</f>
        <v>75.110318786335966</v>
      </c>
      <c r="N34" s="33">
        <f>'1º Alta Frec'!V165</f>
        <v>96.413643612555049</v>
      </c>
      <c r="O34" s="33">
        <f t="shared" si="13"/>
        <v>21.303324826219082</v>
      </c>
      <c r="P34" s="18">
        <f>Datos!D168</f>
        <v>0.93</v>
      </c>
      <c r="Q34" s="33">
        <v>0.5</v>
      </c>
      <c r="R34" s="14">
        <f t="shared" si="14"/>
        <v>23.998454268398245</v>
      </c>
      <c r="S34" s="65">
        <f t="shared" si="15"/>
        <v>4.0258064516129028</v>
      </c>
      <c r="T34" s="14">
        <f t="shared" si="9"/>
        <v>22.41482934744575</v>
      </c>
    </row>
    <row r="35" spans="2:20" x14ac:dyDescent="0.2">
      <c r="B35" s="13">
        <v>125</v>
      </c>
      <c r="C35" s="33">
        <f>'2º Alta Frec'!G35</f>
        <v>79.10738230819544</v>
      </c>
      <c r="D35" s="33">
        <f>'1º Alta Frec'!M166</f>
        <v>94.636409030396095</v>
      </c>
      <c r="E35" s="33">
        <f t="shared" si="10"/>
        <v>15.529026722200655</v>
      </c>
      <c r="F35" s="18">
        <f>Datos!D169</f>
        <v>0.6</v>
      </c>
      <c r="G35" s="33">
        <v>0.5</v>
      </c>
      <c r="H35" s="14">
        <f t="shared" si="11"/>
        <v>16.320839182676902</v>
      </c>
      <c r="I35" s="65">
        <f t="shared" si="12"/>
        <v>6.24</v>
      </c>
      <c r="J35" s="14">
        <f t="shared" si="8"/>
        <v>14.737214261724407</v>
      </c>
      <c r="K35" s="2"/>
      <c r="L35" s="13">
        <v>125</v>
      </c>
      <c r="M35" s="33">
        <f>'2º Alta Frec'!N35</f>
        <v>74.004901667619393</v>
      </c>
      <c r="N35" s="33">
        <f>'1º Alta Frec'!V166</f>
        <v>97.16869261156549</v>
      </c>
      <c r="O35" s="33">
        <f t="shared" si="13"/>
        <v>23.163790943946097</v>
      </c>
      <c r="P35" s="18">
        <f>Datos!D169</f>
        <v>0.6</v>
      </c>
      <c r="Q35" s="33">
        <v>0.5</v>
      </c>
      <c r="R35" s="14">
        <f t="shared" si="14"/>
        <v>23.955603404422344</v>
      </c>
      <c r="S35" s="65">
        <f t="shared" si="15"/>
        <v>6.24</v>
      </c>
      <c r="T35" s="14">
        <f t="shared" si="9"/>
        <v>22.371978483469849</v>
      </c>
    </row>
    <row r="36" spans="2:20" x14ac:dyDescent="0.2">
      <c r="B36" s="13">
        <v>160</v>
      </c>
      <c r="C36" s="33">
        <f>'2º Alta Frec'!G36</f>
        <v>79.161883710248901</v>
      </c>
      <c r="D36" s="33">
        <f>'1º Alta Frec'!M167</f>
        <v>95.294138659560247</v>
      </c>
      <c r="E36" s="33">
        <f t="shared" si="10"/>
        <v>16.132254949311346</v>
      </c>
      <c r="F36" s="18">
        <f>Datos!D170</f>
        <v>0.56000000000000005</v>
      </c>
      <c r="G36" s="33">
        <v>0.5</v>
      </c>
      <c r="H36" s="14">
        <f t="shared" si="11"/>
        <v>16.624435176013161</v>
      </c>
      <c r="I36" s="65">
        <f t="shared" si="12"/>
        <v>6.6857142857142851</v>
      </c>
      <c r="J36" s="14">
        <f t="shared" si="8"/>
        <v>15.040810255060666</v>
      </c>
      <c r="K36" s="2"/>
      <c r="L36" s="13">
        <v>160</v>
      </c>
      <c r="M36" s="33">
        <f>'2º Alta Frec'!N36</f>
        <v>88.282760310431541</v>
      </c>
      <c r="N36" s="33">
        <f>'1º Alta Frec'!V167</f>
        <v>107.0180660994918</v>
      </c>
      <c r="O36" s="33">
        <f t="shared" si="13"/>
        <v>18.735305789060263</v>
      </c>
      <c r="P36" s="18">
        <f>Datos!D170</f>
        <v>0.56000000000000005</v>
      </c>
      <c r="Q36" s="33">
        <v>0.5</v>
      </c>
      <c r="R36" s="14">
        <f t="shared" si="14"/>
        <v>19.227486015762079</v>
      </c>
      <c r="S36" s="65">
        <f t="shared" si="15"/>
        <v>6.6857142857142851</v>
      </c>
      <c r="T36" s="14">
        <f t="shared" si="9"/>
        <v>17.643861094809584</v>
      </c>
    </row>
    <row r="37" spans="2:20" x14ac:dyDescent="0.2">
      <c r="B37" s="13">
        <v>200</v>
      </c>
      <c r="C37" s="33">
        <f>'2º Alta Frec'!G37</f>
        <v>83.610766000109493</v>
      </c>
      <c r="D37" s="33">
        <f>'1º Alta Frec'!M168</f>
        <v>100.78240487587949</v>
      </c>
      <c r="E37" s="33">
        <f t="shared" si="10"/>
        <v>17.17163887577</v>
      </c>
      <c r="F37" s="18">
        <f>Datos!D171</f>
        <v>0.44</v>
      </c>
      <c r="G37" s="33">
        <v>0.5</v>
      </c>
      <c r="H37" s="14">
        <f t="shared" si="11"/>
        <v>16.616465597271688</v>
      </c>
      <c r="I37" s="65">
        <f t="shared" si="12"/>
        <v>8.5090909090909097</v>
      </c>
      <c r="J37" s="14">
        <f t="shared" si="8"/>
        <v>15.032840676319189</v>
      </c>
      <c r="K37" s="2"/>
      <c r="L37" s="13">
        <v>200</v>
      </c>
      <c r="M37" s="33">
        <f>'2º Alta Frec'!N37</f>
        <v>89.365986295148204</v>
      </c>
      <c r="N37" s="33">
        <f>'1º Alta Frec'!V168</f>
        <v>103.29527494237567</v>
      </c>
      <c r="O37" s="33">
        <f t="shared" si="13"/>
        <v>13.929288647227466</v>
      </c>
      <c r="P37" s="18">
        <f>Datos!D171</f>
        <v>0.44</v>
      </c>
      <c r="Q37" s="33">
        <v>0.5</v>
      </c>
      <c r="R37" s="14">
        <f t="shared" si="14"/>
        <v>13.374115368729152</v>
      </c>
      <c r="S37" s="65">
        <f t="shared" si="15"/>
        <v>8.5090909090909097</v>
      </c>
      <c r="T37" s="14">
        <f t="shared" si="9"/>
        <v>11.790490447776655</v>
      </c>
    </row>
    <row r="38" spans="2:20" x14ac:dyDescent="0.2">
      <c r="B38" s="13">
        <v>250</v>
      </c>
      <c r="C38" s="33">
        <f>'2º Alta Frec'!G38</f>
        <v>80.81759560779571</v>
      </c>
      <c r="D38" s="33">
        <f>'1º Alta Frec'!M169</f>
        <v>99.309585179970853</v>
      </c>
      <c r="E38" s="33">
        <f t="shared" si="10"/>
        <v>18.491989572175143</v>
      </c>
      <c r="F38" s="18">
        <f>Datos!D172</f>
        <v>0.52</v>
      </c>
      <c r="G38" s="33">
        <v>0.5</v>
      </c>
      <c r="H38" s="14">
        <f t="shared" si="11"/>
        <v>18.662322965162947</v>
      </c>
      <c r="I38" s="65">
        <f t="shared" si="12"/>
        <v>7.2</v>
      </c>
      <c r="J38" s="14">
        <f t="shared" si="8"/>
        <v>17.078698044210451</v>
      </c>
      <c r="K38" s="2"/>
      <c r="L38" s="13">
        <v>250</v>
      </c>
      <c r="M38" s="33">
        <f>'2º Alta Frec'!N38</f>
        <v>92.830017022862876</v>
      </c>
      <c r="N38" s="33">
        <f>'1º Alta Frec'!V169</f>
        <v>103.33741121660132</v>
      </c>
      <c r="O38" s="33">
        <f t="shared" si="13"/>
        <v>10.507394193738449</v>
      </c>
      <c r="P38" s="18">
        <f>Datos!D172</f>
        <v>0.52</v>
      </c>
      <c r="Q38" s="33">
        <v>0.5</v>
      </c>
      <c r="R38" s="14">
        <f t="shared" si="14"/>
        <v>10.677727586726252</v>
      </c>
      <c r="S38" s="65">
        <f t="shared" si="15"/>
        <v>7.2</v>
      </c>
      <c r="T38" s="14">
        <f t="shared" si="9"/>
        <v>9.0941026657737556</v>
      </c>
    </row>
    <row r="39" spans="2:20" x14ac:dyDescent="0.2">
      <c r="B39" s="13">
        <v>315</v>
      </c>
      <c r="C39" s="33">
        <f>'2º Alta Frec'!G39</f>
        <v>82.167617538218153</v>
      </c>
      <c r="D39" s="33">
        <f>'1º Alta Frec'!M170</f>
        <v>99.646599675074313</v>
      </c>
      <c r="E39" s="33">
        <f t="shared" si="10"/>
        <v>17.47898213685616</v>
      </c>
      <c r="F39" s="18">
        <f>Datos!D173</f>
        <v>0.55000000000000004</v>
      </c>
      <c r="G39" s="33">
        <v>0.5</v>
      </c>
      <c r="H39" s="14">
        <f t="shared" si="11"/>
        <v>17.89290898843841</v>
      </c>
      <c r="I39" s="65">
        <f t="shared" si="12"/>
        <v>6.8072727272727267</v>
      </c>
      <c r="J39" s="14">
        <f t="shared" si="8"/>
        <v>16.309284067485915</v>
      </c>
      <c r="K39" s="2"/>
      <c r="L39" s="13">
        <v>315</v>
      </c>
      <c r="M39" s="33">
        <f>'2º Alta Frec'!N39</f>
        <v>87.684202613409937</v>
      </c>
      <c r="N39" s="33">
        <f>'1º Alta Frec'!V170</f>
        <v>104.81396516338114</v>
      </c>
      <c r="O39" s="33">
        <f t="shared" si="13"/>
        <v>17.129762549971204</v>
      </c>
      <c r="P39" s="18">
        <f>Datos!D173</f>
        <v>0.55000000000000004</v>
      </c>
      <c r="Q39" s="33">
        <v>0.5</v>
      </c>
      <c r="R39" s="14">
        <f t="shared" si="14"/>
        <v>17.543689401553454</v>
      </c>
      <c r="S39" s="65">
        <f t="shared" si="15"/>
        <v>6.8072727272727267</v>
      </c>
      <c r="T39" s="14">
        <f t="shared" si="9"/>
        <v>15.960064480600959</v>
      </c>
    </row>
    <row r="40" spans="2:20" x14ac:dyDescent="0.2">
      <c r="B40" s="13">
        <v>400</v>
      </c>
      <c r="C40" s="33">
        <f>'2º Alta Frec'!G40</f>
        <v>77.73445560488112</v>
      </c>
      <c r="D40" s="33">
        <f>'1º Alta Frec'!M171</f>
        <v>104.38152197155603</v>
      </c>
      <c r="E40" s="33">
        <f t="shared" si="10"/>
        <v>26.647066366674906</v>
      </c>
      <c r="F40" s="18">
        <f>Datos!D174</f>
        <v>0.43</v>
      </c>
      <c r="G40" s="33">
        <v>0.5</v>
      </c>
      <c r="H40" s="14">
        <f t="shared" si="11"/>
        <v>25.992050879110582</v>
      </c>
      <c r="I40" s="65">
        <f t="shared" si="12"/>
        <v>8.7069767441860471</v>
      </c>
      <c r="J40" s="14">
        <f t="shared" si="8"/>
        <v>24.408425958158087</v>
      </c>
      <c r="K40" s="2"/>
      <c r="L40" s="13">
        <v>400</v>
      </c>
      <c r="M40" s="33">
        <f>'2º Alta Frec'!N40</f>
        <v>85.689617044029646</v>
      </c>
      <c r="N40" s="33">
        <f>'1º Alta Frec'!V171</f>
        <v>106.7436831046365</v>
      </c>
      <c r="O40" s="33">
        <f t="shared" si="13"/>
        <v>21.054066060606857</v>
      </c>
      <c r="P40" s="18">
        <f>Datos!D174</f>
        <v>0.43</v>
      </c>
      <c r="Q40" s="33">
        <v>0.5</v>
      </c>
      <c r="R40" s="14">
        <f t="shared" si="14"/>
        <v>20.399050573042533</v>
      </c>
      <c r="S40" s="65">
        <f t="shared" si="15"/>
        <v>8.7069767441860471</v>
      </c>
      <c r="T40" s="14">
        <f t="shared" si="9"/>
        <v>18.815425652090038</v>
      </c>
    </row>
    <row r="41" spans="2:20" x14ac:dyDescent="0.2">
      <c r="B41" s="13">
        <v>500</v>
      </c>
      <c r="C41" s="33">
        <f>'2º Alta Frec'!G41</f>
        <v>76.210894250399278</v>
      </c>
      <c r="D41" s="33">
        <f>'1º Alta Frec'!M172</f>
        <v>102.45579399268433</v>
      </c>
      <c r="E41" s="33">
        <f t="shared" si="10"/>
        <v>26.244899742285057</v>
      </c>
      <c r="F41" s="18">
        <f>Datos!D175</f>
        <v>0.38</v>
      </c>
      <c r="G41" s="33">
        <v>0.5</v>
      </c>
      <c r="H41" s="14">
        <f t="shared" si="11"/>
        <v>25.05303566509297</v>
      </c>
      <c r="I41" s="65">
        <f t="shared" si="12"/>
        <v>9.8526315789473689</v>
      </c>
      <c r="J41" s="14">
        <f t="shared" si="8"/>
        <v>23.469410744140475</v>
      </c>
      <c r="K41" s="2"/>
      <c r="L41" s="13">
        <v>500</v>
      </c>
      <c r="M41" s="33">
        <f>'2º Alta Frec'!N41</f>
        <v>81.843519629384659</v>
      </c>
      <c r="N41" s="33">
        <f>'1º Alta Frec'!V172</f>
        <v>105.17414551849207</v>
      </c>
      <c r="O41" s="33">
        <f t="shared" si="13"/>
        <v>23.330625889107409</v>
      </c>
      <c r="P41" s="18">
        <f>Datos!D175</f>
        <v>0.38</v>
      </c>
      <c r="Q41" s="33">
        <v>0.5</v>
      </c>
      <c r="R41" s="14">
        <f t="shared" si="14"/>
        <v>22.138761811915323</v>
      </c>
      <c r="S41" s="65">
        <f t="shared" si="15"/>
        <v>9.8526315789473689</v>
      </c>
      <c r="T41" s="14">
        <f t="shared" si="9"/>
        <v>20.555136890962828</v>
      </c>
    </row>
    <row r="42" spans="2:20" x14ac:dyDescent="0.2">
      <c r="B42" s="13">
        <v>630</v>
      </c>
      <c r="C42" s="33">
        <f>'2º Alta Frec'!G42</f>
        <v>74.724546781159404</v>
      </c>
      <c r="D42" s="33">
        <f>'1º Alta Frec'!M173</f>
        <v>100.73380954696083</v>
      </c>
      <c r="E42" s="33">
        <f>D42-C42</f>
        <v>26.009262765801424</v>
      </c>
      <c r="F42" s="18">
        <f>Datos!D176</f>
        <v>0.41</v>
      </c>
      <c r="G42" s="33">
        <v>0.5</v>
      </c>
      <c r="H42" s="14">
        <f t="shared" si="11"/>
        <v>25.147401289638591</v>
      </c>
      <c r="I42" s="65">
        <f t="shared" si="12"/>
        <v>9.1317073170731717</v>
      </c>
      <c r="J42" s="14">
        <f t="shared" si="8"/>
        <v>23.563776368686092</v>
      </c>
      <c r="K42" s="2"/>
      <c r="L42" s="13">
        <v>630</v>
      </c>
      <c r="M42" s="33">
        <f>'2º Alta Frec'!N42</f>
        <v>79.857392825372926</v>
      </c>
      <c r="N42" s="33">
        <f>'1º Alta Frec'!V173</f>
        <v>104.8050789768468</v>
      </c>
      <c r="O42" s="33">
        <f t="shared" si="13"/>
        <v>24.947686151473874</v>
      </c>
      <c r="P42" s="18">
        <f>Datos!D176</f>
        <v>0.41</v>
      </c>
      <c r="Q42" s="33">
        <v>0.5</v>
      </c>
      <c r="R42" s="14">
        <f t="shared" si="14"/>
        <v>24.085824675311041</v>
      </c>
      <c r="S42" s="65">
        <f t="shared" si="15"/>
        <v>9.1317073170731717</v>
      </c>
      <c r="T42" s="14">
        <f t="shared" si="9"/>
        <v>22.502199754358543</v>
      </c>
    </row>
    <row r="43" spans="2:20" x14ac:dyDescent="0.2">
      <c r="B43" s="13">
        <v>800</v>
      </c>
      <c r="C43" s="33">
        <f>'2º Alta Frec'!G43</f>
        <v>74.222435228174405</v>
      </c>
      <c r="D43" s="33">
        <f>'1º Alta Frec'!M174</f>
        <v>102.58538491760294</v>
      </c>
      <c r="E43" s="33">
        <f t="shared" si="10"/>
        <v>28.362949689428532</v>
      </c>
      <c r="F43" s="18">
        <f>Datos!D177</f>
        <v>0.44</v>
      </c>
      <c r="G43" s="33">
        <v>0.5</v>
      </c>
      <c r="H43" s="14">
        <f t="shared" si="11"/>
        <v>27.80777641093022</v>
      </c>
      <c r="I43" s="65">
        <f t="shared" si="12"/>
        <v>8.5090909090909097</v>
      </c>
      <c r="J43" s="14">
        <f t="shared" si="8"/>
        <v>26.224151489977721</v>
      </c>
      <c r="K43" s="2"/>
      <c r="L43" s="13">
        <v>800</v>
      </c>
      <c r="M43" s="33">
        <f>'2º Alta Frec'!N43</f>
        <v>78.82256485754769</v>
      </c>
      <c r="N43" s="33">
        <f>'1º Alta Frec'!V174</f>
        <v>103.59251642245471</v>
      </c>
      <c r="O43" s="33">
        <f t="shared" si="13"/>
        <v>24.769951564907018</v>
      </c>
      <c r="P43" s="18">
        <f>Datos!D177</f>
        <v>0.44</v>
      </c>
      <c r="Q43" s="33">
        <v>0.5</v>
      </c>
      <c r="R43" s="14">
        <f t="shared" si="14"/>
        <v>24.214778286408706</v>
      </c>
      <c r="S43" s="65">
        <f t="shared" si="15"/>
        <v>8.5090909090909097</v>
      </c>
      <c r="T43" s="14">
        <f t="shared" si="9"/>
        <v>22.631153365456207</v>
      </c>
    </row>
    <row r="44" spans="2:20" x14ac:dyDescent="0.2">
      <c r="B44" s="13">
        <v>1000</v>
      </c>
      <c r="C44" s="33">
        <f>'2º Alta Frec'!G44</f>
        <v>72.531901701864896</v>
      </c>
      <c r="D44" s="33">
        <f>'1º Alta Frec'!M175</f>
        <v>100.55393532815344</v>
      </c>
      <c r="E44" s="33">
        <f t="shared" si="10"/>
        <v>28.022033626288547</v>
      </c>
      <c r="F44" s="18">
        <f>Datos!D178</f>
        <v>0.5</v>
      </c>
      <c r="G44" s="33">
        <v>0.5</v>
      </c>
      <c r="H44" s="14">
        <f t="shared" si="11"/>
        <v>28.022033626288547</v>
      </c>
      <c r="I44" s="65">
        <f t="shared" si="12"/>
        <v>7.4880000000000004</v>
      </c>
      <c r="J44" s="14">
        <f t="shared" si="8"/>
        <v>26.438408705336052</v>
      </c>
      <c r="K44" s="2"/>
      <c r="L44" s="13">
        <v>1000</v>
      </c>
      <c r="M44" s="33">
        <f>'2º Alta Frec'!N44</f>
        <v>77.680192183373848</v>
      </c>
      <c r="N44" s="33">
        <f>'1º Alta Frec'!V175</f>
        <v>101.0841108292793</v>
      </c>
      <c r="O44" s="33">
        <f t="shared" si="13"/>
        <v>23.403918645905449</v>
      </c>
      <c r="P44" s="18">
        <f>Datos!D178</f>
        <v>0.5</v>
      </c>
      <c r="Q44" s="33">
        <v>0.5</v>
      </c>
      <c r="R44" s="14">
        <f t="shared" si="14"/>
        <v>23.403918645905449</v>
      </c>
      <c r="S44" s="65">
        <f t="shared" si="15"/>
        <v>7.4880000000000004</v>
      </c>
      <c r="T44" s="14">
        <f t="shared" si="9"/>
        <v>21.820293724952954</v>
      </c>
    </row>
    <row r="45" spans="2:20" x14ac:dyDescent="0.2">
      <c r="B45" s="13">
        <v>1250</v>
      </c>
      <c r="C45" s="33">
        <f>'2º Alta Frec'!G45</f>
        <v>70.865724856524878</v>
      </c>
      <c r="D45" s="33">
        <f>'1º Alta Frec'!M176</f>
        <v>98.25929379041537</v>
      </c>
      <c r="E45" s="33">
        <f t="shared" si="10"/>
        <v>27.393568933890492</v>
      </c>
      <c r="F45" s="18">
        <f>Datos!D179</f>
        <v>0.44</v>
      </c>
      <c r="G45" s="33">
        <v>0.5</v>
      </c>
      <c r="H45" s="14">
        <f t="shared" si="11"/>
        <v>26.83839565539218</v>
      </c>
      <c r="I45" s="65">
        <f t="shared" si="12"/>
        <v>8.5090909090909097</v>
      </c>
      <c r="J45" s="14">
        <f t="shared" si="8"/>
        <v>25.254770734439681</v>
      </c>
      <c r="K45" s="2"/>
      <c r="L45" s="13">
        <v>1250</v>
      </c>
      <c r="M45" s="33">
        <f>'2º Alta Frec'!N45</f>
        <v>75.703974045589632</v>
      </c>
      <c r="N45" s="33">
        <f>'1º Alta Frec'!V176</f>
        <v>99.767689122797591</v>
      </c>
      <c r="O45" s="33">
        <f t="shared" si="13"/>
        <v>24.063715077207959</v>
      </c>
      <c r="P45" s="18">
        <f>Datos!D179</f>
        <v>0.44</v>
      </c>
      <c r="Q45" s="33">
        <v>0.5</v>
      </c>
      <c r="R45" s="14">
        <f t="shared" si="14"/>
        <v>23.508541798709647</v>
      </c>
      <c r="S45" s="65">
        <f t="shared" si="15"/>
        <v>8.5090909090909097</v>
      </c>
      <c r="T45" s="14">
        <f t="shared" si="9"/>
        <v>21.924916877757148</v>
      </c>
    </row>
    <row r="46" spans="2:20" x14ac:dyDescent="0.2">
      <c r="B46" s="13">
        <v>1600</v>
      </c>
      <c r="C46" s="33">
        <f>'2º Alta Frec'!G46</f>
        <v>69.816559492104318</v>
      </c>
      <c r="D46" s="33">
        <f>'1º Alta Frec'!M177</f>
        <v>97.470710070652856</v>
      </c>
      <c r="E46" s="33">
        <f t="shared" si="10"/>
        <v>27.654150578548538</v>
      </c>
      <c r="F46" s="18">
        <f>Datos!D180</f>
        <v>0.45</v>
      </c>
      <c r="G46" s="33">
        <v>0.5</v>
      </c>
      <c r="H46" s="14">
        <f t="shared" si="11"/>
        <v>27.196575672941787</v>
      </c>
      <c r="I46" s="65">
        <f t="shared" si="12"/>
        <v>8.32</v>
      </c>
      <c r="J46" s="14">
        <f t="shared" si="8"/>
        <v>25.612950751989292</v>
      </c>
      <c r="K46" s="2"/>
      <c r="L46" s="13">
        <v>1600</v>
      </c>
      <c r="M46" s="33">
        <f>'2º Alta Frec'!N46</f>
        <v>74.361568643150747</v>
      </c>
      <c r="N46" s="33">
        <f>'1º Alta Frec'!V177</f>
        <v>98.610882631472109</v>
      </c>
      <c r="O46" s="33">
        <f t="shared" si="13"/>
        <v>24.249313988321362</v>
      </c>
      <c r="P46" s="18">
        <f>Datos!D180</f>
        <v>0.45</v>
      </c>
      <c r="Q46" s="33">
        <v>0.5</v>
      </c>
      <c r="R46" s="14">
        <f t="shared" si="14"/>
        <v>23.79173908271461</v>
      </c>
      <c r="S46" s="65">
        <f t="shared" si="15"/>
        <v>8.32</v>
      </c>
      <c r="T46" s="14">
        <f t="shared" si="9"/>
        <v>22.208114161762115</v>
      </c>
    </row>
    <row r="47" spans="2:20" x14ac:dyDescent="0.2">
      <c r="B47" s="13">
        <v>2000</v>
      </c>
      <c r="C47" s="33">
        <f>'2º Alta Frec'!G47</f>
        <v>70.192966399797342</v>
      </c>
      <c r="D47" s="33">
        <f>'1º Alta Frec'!M178</f>
        <v>94.496577526384229</v>
      </c>
      <c r="E47" s="33">
        <f t="shared" si="10"/>
        <v>24.303611126586887</v>
      </c>
      <c r="F47" s="18">
        <f>Datos!D181</f>
        <v>0.43</v>
      </c>
      <c r="G47" s="33">
        <v>0.5</v>
      </c>
      <c r="H47" s="14">
        <f t="shared" si="11"/>
        <v>23.648595639022563</v>
      </c>
      <c r="I47" s="65">
        <f t="shared" si="12"/>
        <v>8.7069767441860471</v>
      </c>
      <c r="J47" s="14">
        <f t="shared" si="8"/>
        <v>22.064970718070068</v>
      </c>
      <c r="K47" s="2"/>
      <c r="L47" s="13">
        <v>2000</v>
      </c>
      <c r="M47" s="33">
        <f>'2º Alta Frec'!N47</f>
        <v>74.701147556731186</v>
      </c>
      <c r="N47" s="33">
        <f>'1º Alta Frec'!V178</f>
        <v>97.782662632077759</v>
      </c>
      <c r="O47" s="33">
        <f t="shared" si="13"/>
        <v>23.081515075346573</v>
      </c>
      <c r="P47" s="18">
        <f>Datos!D181</f>
        <v>0.43</v>
      </c>
      <c r="Q47" s="33">
        <v>0.5</v>
      </c>
      <c r="R47" s="14">
        <f t="shared" si="14"/>
        <v>22.426499587782249</v>
      </c>
      <c r="S47" s="65">
        <f t="shared" si="15"/>
        <v>8.7069767441860471</v>
      </c>
      <c r="T47" s="14">
        <f t="shared" si="9"/>
        <v>20.842874666829754</v>
      </c>
    </row>
    <row r="48" spans="2:20" x14ac:dyDescent="0.2">
      <c r="B48" s="13">
        <v>2500</v>
      </c>
      <c r="C48" s="33">
        <f>'2º Alta Frec'!G48</f>
        <v>74.517581132881617</v>
      </c>
      <c r="D48" s="33">
        <f>'1º Alta Frec'!M179</f>
        <v>94.735839498156594</v>
      </c>
      <c r="E48" s="33">
        <f t="shared" si="10"/>
        <v>20.218258365274977</v>
      </c>
      <c r="F48" s="18">
        <f>Datos!D182</f>
        <v>0.43</v>
      </c>
      <c r="G48" s="33">
        <v>0.5</v>
      </c>
      <c r="H48" s="14">
        <f t="shared" si="11"/>
        <v>19.563242877710653</v>
      </c>
      <c r="I48" s="65">
        <f t="shared" si="12"/>
        <v>8.7069767441860471</v>
      </c>
      <c r="J48" s="14">
        <f t="shared" si="8"/>
        <v>17.979617956758158</v>
      </c>
      <c r="K48" s="2"/>
      <c r="L48" s="13">
        <v>2500</v>
      </c>
      <c r="M48" s="33">
        <f>'2º Alta Frec'!N48</f>
        <v>78.235664395254005</v>
      </c>
      <c r="N48" s="33">
        <f>'1º Alta Frec'!V179</f>
        <v>99.414643847974006</v>
      </c>
      <c r="O48" s="33">
        <f t="shared" si="13"/>
        <v>21.17897945272</v>
      </c>
      <c r="P48" s="18">
        <f>Datos!D182</f>
        <v>0.43</v>
      </c>
      <c r="Q48" s="33">
        <v>0.5</v>
      </c>
      <c r="R48" s="14">
        <f t="shared" si="14"/>
        <v>20.523963965155676</v>
      </c>
      <c r="S48" s="65">
        <f t="shared" si="15"/>
        <v>8.7069767441860471</v>
      </c>
      <c r="T48" s="14">
        <f t="shared" si="9"/>
        <v>18.940339044203181</v>
      </c>
    </row>
    <row r="49" spans="2:20" x14ac:dyDescent="0.2">
      <c r="B49" s="13">
        <v>3150</v>
      </c>
      <c r="C49" s="33">
        <f>'2º Alta Frec'!G49</f>
        <v>74.4755031363824</v>
      </c>
      <c r="D49" s="33">
        <f>'1º Alta Frec'!M180</f>
        <v>96.587232683117477</v>
      </c>
      <c r="E49" s="33">
        <f t="shared" si="10"/>
        <v>22.111729546735077</v>
      </c>
      <c r="F49" s="18">
        <f>Datos!D183</f>
        <v>0.41</v>
      </c>
      <c r="G49" s="33">
        <v>0.5</v>
      </c>
      <c r="H49" s="14">
        <f t="shared" si="11"/>
        <v>21.249868070572244</v>
      </c>
      <c r="I49" s="65">
        <f t="shared" si="12"/>
        <v>9.1317073170731717</v>
      </c>
      <c r="J49" s="14">
        <f t="shared" si="8"/>
        <v>19.666243149619746</v>
      </c>
      <c r="K49" s="2"/>
      <c r="L49" s="13">
        <v>3150</v>
      </c>
      <c r="M49" s="33">
        <f>'2º Alta Frec'!N49</f>
        <v>78.380289677082857</v>
      </c>
      <c r="N49" s="33">
        <f>'1º Alta Frec'!V180</f>
        <v>97.082410695841133</v>
      </c>
      <c r="O49" s="33">
        <f t="shared" si="13"/>
        <v>18.702121018758277</v>
      </c>
      <c r="P49" s="18">
        <f>Datos!D183</f>
        <v>0.41</v>
      </c>
      <c r="Q49" s="33">
        <v>0.5</v>
      </c>
      <c r="R49" s="14">
        <f t="shared" si="14"/>
        <v>17.840259542595444</v>
      </c>
      <c r="S49" s="65">
        <f t="shared" si="15"/>
        <v>9.1317073170731717</v>
      </c>
      <c r="T49" s="14">
        <f t="shared" si="9"/>
        <v>16.256634621642945</v>
      </c>
    </row>
    <row r="50" spans="2:20" x14ac:dyDescent="0.2">
      <c r="B50" s="13">
        <v>4000</v>
      </c>
      <c r="C50" s="33">
        <f>'2º Alta Frec'!G50</f>
        <v>69.853334112389319</v>
      </c>
      <c r="D50" s="33">
        <f>'1º Alta Frec'!M181</f>
        <v>94.593869595948362</v>
      </c>
      <c r="E50" s="33">
        <f t="shared" si="10"/>
        <v>24.740535483559043</v>
      </c>
      <c r="F50" s="18">
        <f>Datos!D184</f>
        <v>0.4</v>
      </c>
      <c r="G50" s="33">
        <v>0.5</v>
      </c>
      <c r="H50" s="14">
        <f t="shared" si="11"/>
        <v>23.771435353478481</v>
      </c>
      <c r="I50" s="65">
        <f t="shared" si="12"/>
        <v>9.36</v>
      </c>
      <c r="J50" s="14">
        <f t="shared" si="8"/>
        <v>22.187810432525982</v>
      </c>
      <c r="K50" s="2"/>
      <c r="L50" s="13">
        <v>4000</v>
      </c>
      <c r="M50" s="33">
        <f>'2º Alta Frec'!N50</f>
        <v>73.416692515661978</v>
      </c>
      <c r="N50" s="33">
        <f>'1º Alta Frec'!V181</f>
        <v>93.658304478209885</v>
      </c>
      <c r="O50" s="33">
        <f t="shared" si="13"/>
        <v>20.241611962547907</v>
      </c>
      <c r="P50" s="18">
        <f>Datos!D184</f>
        <v>0.4</v>
      </c>
      <c r="Q50" s="33">
        <v>0.5</v>
      </c>
      <c r="R50" s="14">
        <f t="shared" si="14"/>
        <v>19.272511832467345</v>
      </c>
      <c r="S50" s="65">
        <f t="shared" si="15"/>
        <v>9.36</v>
      </c>
      <c r="T50" s="14">
        <f t="shared" si="9"/>
        <v>17.688886911514846</v>
      </c>
    </row>
    <row r="51" spans="2:20" x14ac:dyDescent="0.2">
      <c r="B51" s="15">
        <v>5000</v>
      </c>
      <c r="C51" s="23">
        <f>'2º Alta Frec'!G51</f>
        <v>65.532625240478296</v>
      </c>
      <c r="D51" s="23">
        <f>'1º Alta Frec'!M182</f>
        <v>91.119760367262927</v>
      </c>
      <c r="E51" s="23">
        <f t="shared" si="10"/>
        <v>25.587135126784631</v>
      </c>
      <c r="F51" s="16">
        <f>Datos!D185</f>
        <v>0.39</v>
      </c>
      <c r="G51" s="23">
        <v>0.5</v>
      </c>
      <c r="H51" s="17">
        <f t="shared" si="11"/>
        <v>24.508081153689435</v>
      </c>
      <c r="I51" s="67">
        <f t="shared" si="12"/>
        <v>9.6</v>
      </c>
      <c r="J51" s="17">
        <f t="shared" si="8"/>
        <v>22.92445623273694</v>
      </c>
      <c r="K51" s="2"/>
      <c r="L51" s="15">
        <v>5000</v>
      </c>
      <c r="M51" s="23">
        <f>'2º Alta Frec'!N51</f>
        <v>69.481371597887986</v>
      </c>
      <c r="N51" s="23">
        <f>'1º Alta Frec'!V182</f>
        <v>92.318642969588055</v>
      </c>
      <c r="O51" s="23">
        <f t="shared" si="13"/>
        <v>22.837271371700069</v>
      </c>
      <c r="P51" s="16">
        <f>Datos!D185</f>
        <v>0.39</v>
      </c>
      <c r="Q51" s="23">
        <v>0.5</v>
      </c>
      <c r="R51" s="17">
        <f>O51+(10*LOG10(P51/Q51))</f>
        <v>21.758217398604874</v>
      </c>
      <c r="S51" s="67">
        <f t="shared" si="15"/>
        <v>9.6</v>
      </c>
      <c r="T51" s="17">
        <f t="shared" si="9"/>
        <v>20.174592477652379</v>
      </c>
    </row>
    <row r="55" spans="2:20" x14ac:dyDescent="0.2">
      <c r="B55" s="172" t="s">
        <v>44</v>
      </c>
      <c r="C55" s="173"/>
      <c r="D55" s="173"/>
      <c r="E55" s="173"/>
      <c r="F55" s="173"/>
      <c r="G55" s="173"/>
      <c r="H55" s="173"/>
      <c r="I55" s="173"/>
      <c r="J55" s="174"/>
      <c r="K55" s="2"/>
      <c r="L55" s="175" t="s">
        <v>44</v>
      </c>
      <c r="M55" s="176"/>
      <c r="N55" s="176"/>
      <c r="O55" s="176"/>
      <c r="P55" s="176"/>
      <c r="Q55" s="176"/>
      <c r="R55" s="176"/>
      <c r="S55" s="176"/>
      <c r="T55" s="177"/>
    </row>
    <row r="56" spans="2:20" ht="23" customHeight="1" x14ac:dyDescent="0.2">
      <c r="B56" s="162" t="s">
        <v>25</v>
      </c>
      <c r="C56" s="163"/>
      <c r="D56" s="163"/>
      <c r="E56" s="163"/>
      <c r="F56" s="163"/>
      <c r="G56" s="163"/>
      <c r="H56" s="164"/>
      <c r="I56" s="69"/>
      <c r="J56" s="70">
        <f>2.5*4.5</f>
        <v>11.25</v>
      </c>
      <c r="K56" s="2"/>
      <c r="L56" s="168" t="s">
        <v>28</v>
      </c>
      <c r="M56" s="169"/>
      <c r="N56" s="169"/>
      <c r="O56" s="169"/>
      <c r="P56" s="169"/>
      <c r="Q56" s="169"/>
      <c r="R56" s="170"/>
      <c r="S56" s="69"/>
      <c r="T56" s="70">
        <f>2.5*4.5</f>
        <v>11.25</v>
      </c>
    </row>
    <row r="57" spans="2:20" ht="33" customHeight="1" x14ac:dyDescent="0.2">
      <c r="B57" s="9"/>
      <c r="C57" s="11"/>
      <c r="D57" s="21"/>
      <c r="E57" s="21"/>
      <c r="F57" s="25"/>
      <c r="G57" s="21"/>
      <c r="H57" s="26"/>
      <c r="I57" s="21"/>
      <c r="J57" s="26"/>
      <c r="K57" s="27"/>
      <c r="L57" s="9"/>
      <c r="M57" s="11"/>
      <c r="N57" s="21"/>
      <c r="O57" s="21"/>
      <c r="P57" s="25"/>
      <c r="Q57" s="21"/>
      <c r="R57" s="26"/>
      <c r="S57" s="21"/>
      <c r="T57" s="26"/>
    </row>
    <row r="58" spans="2:20" x14ac:dyDescent="0.2">
      <c r="B58" s="13">
        <v>50</v>
      </c>
      <c r="C58" s="33">
        <f>'2º Alta Frec'!G57</f>
        <v>62.185416690603134</v>
      </c>
      <c r="D58" s="33">
        <f>'1º Alta Frec'!M187</f>
        <v>82.750116264149298</v>
      </c>
      <c r="E58" s="33">
        <f>D58-C58</f>
        <v>20.564699573546164</v>
      </c>
      <c r="F58" s="18">
        <f>Datos!D165</f>
        <v>1.29</v>
      </c>
      <c r="G58" s="33">
        <v>0.5</v>
      </c>
      <c r="H58" s="14">
        <f>E58+(10*LOG10(F58/G58))</f>
        <v>24.680896633178467</v>
      </c>
      <c r="I58" s="65">
        <f>(0.16*4.5*2.08*2.5)/F58</f>
        <v>2.902325581395349</v>
      </c>
      <c r="J58" s="14">
        <f t="shared" ref="J58:J78" si="16">E58+10*LOG10($J$56/I58)</f>
        <v>26.448763500351792</v>
      </c>
      <c r="K58" s="2"/>
      <c r="L58" s="13">
        <v>50</v>
      </c>
      <c r="M58" s="33">
        <f>'2º Alta Frec'!N57</f>
        <v>68.960379500626274</v>
      </c>
      <c r="N58" s="33">
        <f>'1º Alta Frec'!V187</f>
        <v>85.567594562429491</v>
      </c>
      <c r="O58" s="33">
        <f>N58-M58</f>
        <v>16.607215061803217</v>
      </c>
      <c r="P58" s="18">
        <f>Datos!D165</f>
        <v>1.29</v>
      </c>
      <c r="Q58" s="33">
        <v>0.5</v>
      </c>
      <c r="R58" s="14">
        <f>O58+(10*LOG10(P58/Q58))</f>
        <v>20.723412121435519</v>
      </c>
      <c r="S58" s="65">
        <f>(0.16*4.5*2.08*2.5)/P58</f>
        <v>2.902325581395349</v>
      </c>
      <c r="T58" s="14">
        <f t="shared" ref="T58:T78" si="17">O58+10*LOG10($T$56/S58)</f>
        <v>22.491278988608844</v>
      </c>
    </row>
    <row r="59" spans="2:20" x14ac:dyDescent="0.2">
      <c r="B59" s="13">
        <v>63</v>
      </c>
      <c r="C59" s="33">
        <f>'2º Alta Frec'!G58</f>
        <v>63.814501536034562</v>
      </c>
      <c r="D59" s="33">
        <f>'1º Alta Frec'!M188</f>
        <v>87.953253983634241</v>
      </c>
      <c r="E59" s="33">
        <f t="shared" ref="E59:E78" si="18">D59-C59</f>
        <v>24.138752447599678</v>
      </c>
      <c r="F59" s="18">
        <f>Datos!D166</f>
        <v>0.53</v>
      </c>
      <c r="G59" s="33">
        <v>0.5</v>
      </c>
      <c r="H59" s="14">
        <f t="shared" ref="H59:H78" si="19">E59+(10*LOG10(F59/G59))</f>
        <v>24.391811100247381</v>
      </c>
      <c r="I59" s="65">
        <f t="shared" ref="I59:I78" si="20">(0.16*4.5*2.08*2.5)/F59</f>
        <v>7.0641509433962266</v>
      </c>
      <c r="J59" s="14">
        <f t="shared" si="16"/>
        <v>26.159677967420706</v>
      </c>
      <c r="K59" s="2"/>
      <c r="L59" s="13">
        <v>63</v>
      </c>
      <c r="M59" s="33">
        <f>'2º Alta Frec'!N58</f>
        <v>54.514982413269991</v>
      </c>
      <c r="N59" s="33">
        <f>'1º Alta Frec'!V188</f>
        <v>88.30030833937785</v>
      </c>
      <c r="O59" s="33">
        <f t="shared" ref="O59:O78" si="21">N59-M59</f>
        <v>33.785325926107859</v>
      </c>
      <c r="P59" s="18">
        <f>Datos!D166</f>
        <v>0.53</v>
      </c>
      <c r="Q59" s="33">
        <v>0.5</v>
      </c>
      <c r="R59" s="14">
        <f t="shared" ref="R59:R78" si="22">O59+(10*LOG10(P59/Q59))</f>
        <v>34.038384578755561</v>
      </c>
      <c r="S59" s="65">
        <f t="shared" ref="S59:S78" si="23">(0.16*4.5*2.08*2.5)/P59</f>
        <v>7.0641509433962266</v>
      </c>
      <c r="T59" s="14">
        <f t="shared" si="17"/>
        <v>35.806251445928886</v>
      </c>
    </row>
    <row r="60" spans="2:20" x14ac:dyDescent="0.2">
      <c r="B60" s="13">
        <v>80</v>
      </c>
      <c r="C60" s="33">
        <f>'2º Alta Frec'!G59</f>
        <v>68.782358243584639</v>
      </c>
      <c r="D60" s="33">
        <f>'1º Alta Frec'!M189</f>
        <v>92.485210968042622</v>
      </c>
      <c r="E60" s="33">
        <f t="shared" si="18"/>
        <v>23.702852724457983</v>
      </c>
      <c r="F60" s="18">
        <f>Datos!D167</f>
        <v>0.52</v>
      </c>
      <c r="G60" s="33">
        <v>0.5</v>
      </c>
      <c r="H60" s="14">
        <f t="shared" si="19"/>
        <v>23.873186117445787</v>
      </c>
      <c r="I60" s="65">
        <f t="shared" si="20"/>
        <v>7.2</v>
      </c>
      <c r="J60" s="14">
        <f t="shared" si="16"/>
        <v>25.641052984619112</v>
      </c>
      <c r="K60" s="2"/>
      <c r="L60" s="13">
        <v>80</v>
      </c>
      <c r="M60" s="33">
        <f>'2º Alta Frec'!N59</f>
        <v>58.422646271196641</v>
      </c>
      <c r="N60" s="33">
        <f>'1º Alta Frec'!V189</f>
        <v>90.777249325956575</v>
      </c>
      <c r="O60" s="33">
        <f t="shared" si="21"/>
        <v>32.354603054759934</v>
      </c>
      <c r="P60" s="18">
        <f>Datos!D167</f>
        <v>0.52</v>
      </c>
      <c r="Q60" s="33">
        <v>0.5</v>
      </c>
      <c r="R60" s="14">
        <f t="shared" si="22"/>
        <v>32.524936447747741</v>
      </c>
      <c r="S60" s="65">
        <f t="shared" si="23"/>
        <v>7.2</v>
      </c>
      <c r="T60" s="14">
        <f t="shared" si="17"/>
        <v>34.292803314921059</v>
      </c>
    </row>
    <row r="61" spans="2:20" x14ac:dyDescent="0.2">
      <c r="B61" s="13">
        <v>100</v>
      </c>
      <c r="C61" s="33">
        <f>'2º Alta Frec'!G60</f>
        <v>66.578354993990104</v>
      </c>
      <c r="D61" s="33">
        <f>'1º Alta Frec'!M190</f>
        <v>88.349025901016091</v>
      </c>
      <c r="E61" s="33">
        <f t="shared" si="18"/>
        <v>21.770670907025988</v>
      </c>
      <c r="F61" s="18">
        <f>Datos!D168</f>
        <v>0.93</v>
      </c>
      <c r="G61" s="33">
        <v>0.5</v>
      </c>
      <c r="H61" s="14">
        <f t="shared" si="19"/>
        <v>24.46580034920515</v>
      </c>
      <c r="I61" s="65">
        <f t="shared" si="20"/>
        <v>4.0258064516129028</v>
      </c>
      <c r="J61" s="14">
        <f t="shared" si="16"/>
        <v>26.233667216378475</v>
      </c>
      <c r="K61" s="2"/>
      <c r="L61" s="13">
        <v>100</v>
      </c>
      <c r="M61" s="33">
        <f>'2º Alta Frec'!N60</f>
        <v>54.098448324912283</v>
      </c>
      <c r="N61" s="33">
        <f>'1º Alta Frec'!V190</f>
        <v>85.466273166969557</v>
      </c>
      <c r="O61" s="33">
        <f t="shared" si="21"/>
        <v>31.367824842057274</v>
      </c>
      <c r="P61" s="18">
        <f>Datos!D168</f>
        <v>0.93</v>
      </c>
      <c r="Q61" s="33">
        <v>0.5</v>
      </c>
      <c r="R61" s="14">
        <f t="shared" si="22"/>
        <v>34.06295428423644</v>
      </c>
      <c r="S61" s="65">
        <f t="shared" si="23"/>
        <v>4.0258064516129028</v>
      </c>
      <c r="T61" s="14">
        <f t="shared" si="17"/>
        <v>35.830821151409765</v>
      </c>
    </row>
    <row r="62" spans="2:20" x14ac:dyDescent="0.2">
      <c r="B62" s="13">
        <v>125</v>
      </c>
      <c r="C62" s="33">
        <f>'2º Alta Frec'!G61</f>
        <v>67.987170289641952</v>
      </c>
      <c r="D62" s="33">
        <f>'1º Alta Frec'!M191</f>
        <v>88.187276299778574</v>
      </c>
      <c r="E62" s="33">
        <f t="shared" si="18"/>
        <v>20.200106010136622</v>
      </c>
      <c r="F62" s="18">
        <f>Datos!D169</f>
        <v>0.6</v>
      </c>
      <c r="G62" s="33">
        <v>0.5</v>
      </c>
      <c r="H62" s="14">
        <f t="shared" si="19"/>
        <v>20.99191847061287</v>
      </c>
      <c r="I62" s="65">
        <f t="shared" si="20"/>
        <v>6.24</v>
      </c>
      <c r="J62" s="14">
        <f t="shared" si="16"/>
        <v>22.759785337786195</v>
      </c>
      <c r="K62" s="2"/>
      <c r="L62" s="13">
        <v>125</v>
      </c>
      <c r="M62" s="33">
        <f>'2º Alta Frec'!N61</f>
        <v>52.863350698814969</v>
      </c>
      <c r="N62" s="33">
        <f>'1º Alta Frec'!V191</f>
        <v>87.200657739676245</v>
      </c>
      <c r="O62" s="33">
        <f t="shared" si="21"/>
        <v>34.337307040861276</v>
      </c>
      <c r="P62" s="18">
        <f>Datos!D169</f>
        <v>0.6</v>
      </c>
      <c r="Q62" s="33">
        <v>0.5</v>
      </c>
      <c r="R62" s="14">
        <f t="shared" si="22"/>
        <v>35.129119501337527</v>
      </c>
      <c r="S62" s="65">
        <f t="shared" si="23"/>
        <v>6.24</v>
      </c>
      <c r="T62" s="14">
        <f t="shared" si="17"/>
        <v>36.896986368510852</v>
      </c>
    </row>
    <row r="63" spans="2:20" x14ac:dyDescent="0.2">
      <c r="B63" s="13">
        <v>160</v>
      </c>
      <c r="C63" s="33">
        <f>'2º Alta Frec'!G62</f>
        <v>74.817372685774586</v>
      </c>
      <c r="D63" s="33">
        <f>'1º Alta Frec'!M192</f>
        <v>97.394857565264431</v>
      </c>
      <c r="E63" s="33">
        <f t="shared" si="18"/>
        <v>22.577484879489845</v>
      </c>
      <c r="F63" s="18">
        <f>Datos!D170</f>
        <v>0.56000000000000005</v>
      </c>
      <c r="G63" s="33">
        <v>0.5</v>
      </c>
      <c r="H63" s="14">
        <f t="shared" si="19"/>
        <v>23.06966510619166</v>
      </c>
      <c r="I63" s="65">
        <f t="shared" si="20"/>
        <v>6.6857142857142851</v>
      </c>
      <c r="J63" s="14">
        <f t="shared" si="16"/>
        <v>24.837531973364985</v>
      </c>
      <c r="K63" s="2"/>
      <c r="L63" s="13">
        <v>160</v>
      </c>
      <c r="M63" s="33">
        <f>'2º Alta Frec'!N62</f>
        <v>69.011891287539044</v>
      </c>
      <c r="N63" s="33">
        <f>'1º Alta Frec'!V192</f>
        <v>97.739709994970326</v>
      </c>
      <c r="O63" s="33">
        <f t="shared" si="21"/>
        <v>28.727818707431283</v>
      </c>
      <c r="P63" s="18">
        <f>Datos!D170</f>
        <v>0.56000000000000005</v>
      </c>
      <c r="Q63" s="33">
        <v>0.5</v>
      </c>
      <c r="R63" s="14">
        <f t="shared" si="22"/>
        <v>29.219998934133098</v>
      </c>
      <c r="S63" s="65">
        <f t="shared" si="23"/>
        <v>6.6857142857142851</v>
      </c>
      <c r="T63" s="14">
        <f t="shared" si="17"/>
        <v>30.987865801306423</v>
      </c>
    </row>
    <row r="64" spans="2:20" x14ac:dyDescent="0.2">
      <c r="B64" s="13">
        <v>200</v>
      </c>
      <c r="C64" s="33">
        <f>'2º Alta Frec'!G63</f>
        <v>73.229083860402937</v>
      </c>
      <c r="D64" s="33">
        <f>'1º Alta Frec'!M193</f>
        <v>101.71455265215185</v>
      </c>
      <c r="E64" s="33">
        <f t="shared" si="18"/>
        <v>28.485468791748914</v>
      </c>
      <c r="F64" s="18">
        <f>Datos!D171</f>
        <v>0.44</v>
      </c>
      <c r="G64" s="33">
        <v>0.5</v>
      </c>
      <c r="H64" s="14">
        <f t="shared" si="19"/>
        <v>27.930295513250602</v>
      </c>
      <c r="I64" s="65">
        <f t="shared" si="20"/>
        <v>8.5090909090909097</v>
      </c>
      <c r="J64" s="14">
        <f t="shared" si="16"/>
        <v>29.698162380423927</v>
      </c>
      <c r="K64" s="2"/>
      <c r="L64" s="13">
        <v>200</v>
      </c>
      <c r="M64" s="33">
        <f>'2º Alta Frec'!N63</f>
        <v>62.706958843205271</v>
      </c>
      <c r="N64" s="33">
        <f>'1º Alta Frec'!V193</f>
        <v>102.16589138892232</v>
      </c>
      <c r="O64" s="33">
        <f t="shared" si="21"/>
        <v>39.458932545717047</v>
      </c>
      <c r="P64" s="18">
        <f>Datos!D171</f>
        <v>0.44</v>
      </c>
      <c r="Q64" s="33">
        <v>0.5</v>
      </c>
      <c r="R64" s="14">
        <f t="shared" si="22"/>
        <v>38.903759267218732</v>
      </c>
      <c r="S64" s="65">
        <f t="shared" si="23"/>
        <v>8.5090909090909097</v>
      </c>
      <c r="T64" s="14">
        <f t="shared" si="17"/>
        <v>40.671626134392056</v>
      </c>
    </row>
    <row r="65" spans="2:20" x14ac:dyDescent="0.2">
      <c r="B65" s="13">
        <v>250</v>
      </c>
      <c r="C65" s="33">
        <f>'2º Alta Frec'!G64</f>
        <v>75.694631686089892</v>
      </c>
      <c r="D65" s="33">
        <f>'1º Alta Frec'!M194</f>
        <v>104.87842891058021</v>
      </c>
      <c r="E65" s="33">
        <f t="shared" si="18"/>
        <v>29.18379722449032</v>
      </c>
      <c r="F65" s="18">
        <f>Datos!D172</f>
        <v>0.52</v>
      </c>
      <c r="G65" s="33">
        <v>0.5</v>
      </c>
      <c r="H65" s="14">
        <f t="shared" si="19"/>
        <v>29.354130617478123</v>
      </c>
      <c r="I65" s="65">
        <f t="shared" si="20"/>
        <v>7.2</v>
      </c>
      <c r="J65" s="14">
        <f t="shared" si="16"/>
        <v>31.121997484651448</v>
      </c>
      <c r="K65" s="2"/>
      <c r="L65" s="13">
        <v>250</v>
      </c>
      <c r="M65" s="33">
        <f>'2º Alta Frec'!N64</f>
        <v>66.581328844527576</v>
      </c>
      <c r="N65" s="33">
        <f>'1º Alta Frec'!V194</f>
        <v>103.86603779631039</v>
      </c>
      <c r="O65" s="33">
        <f t="shared" si="21"/>
        <v>37.284708951782818</v>
      </c>
      <c r="P65" s="18">
        <f>Datos!D172</f>
        <v>0.52</v>
      </c>
      <c r="Q65" s="33">
        <v>0.5</v>
      </c>
      <c r="R65" s="14">
        <f t="shared" si="22"/>
        <v>37.455042344770625</v>
      </c>
      <c r="S65" s="65">
        <f t="shared" si="23"/>
        <v>7.2</v>
      </c>
      <c r="T65" s="14">
        <f t="shared" si="17"/>
        <v>39.222909211943943</v>
      </c>
    </row>
    <row r="66" spans="2:20" x14ac:dyDescent="0.2">
      <c r="B66" s="13">
        <v>315</v>
      </c>
      <c r="C66" s="33">
        <f>'2º Alta Frec'!G65</f>
        <v>74.808993926225057</v>
      </c>
      <c r="D66" s="33">
        <f>'1º Alta Frec'!M195</f>
        <v>102.55708703195566</v>
      </c>
      <c r="E66" s="33">
        <f t="shared" si="18"/>
        <v>27.748093105730604</v>
      </c>
      <c r="F66" s="18">
        <f>Datos!D173</f>
        <v>0.55000000000000004</v>
      </c>
      <c r="G66" s="33">
        <v>0.5</v>
      </c>
      <c r="H66" s="14">
        <f t="shared" si="19"/>
        <v>28.162019957312854</v>
      </c>
      <c r="I66" s="65">
        <f t="shared" si="20"/>
        <v>6.8072727272727267</v>
      </c>
      <c r="J66" s="14">
        <f t="shared" si="16"/>
        <v>29.929886824486179</v>
      </c>
      <c r="K66" s="2"/>
      <c r="L66" s="13">
        <v>315</v>
      </c>
      <c r="M66" s="33">
        <f>'2º Alta Frec'!N65</f>
        <v>70.243048263523548</v>
      </c>
      <c r="N66" s="33">
        <f>'1º Alta Frec'!V195</f>
        <v>101.93122182772376</v>
      </c>
      <c r="O66" s="33">
        <f t="shared" si="21"/>
        <v>31.688173564200213</v>
      </c>
      <c r="P66" s="18">
        <f>Datos!D173</f>
        <v>0.55000000000000004</v>
      </c>
      <c r="Q66" s="33">
        <v>0.5</v>
      </c>
      <c r="R66" s="14">
        <f t="shared" si="22"/>
        <v>32.102100415782466</v>
      </c>
      <c r="S66" s="65">
        <f t="shared" si="23"/>
        <v>6.8072727272727267</v>
      </c>
      <c r="T66" s="14">
        <f t="shared" si="17"/>
        <v>33.869967282955791</v>
      </c>
    </row>
    <row r="67" spans="2:20" x14ac:dyDescent="0.2">
      <c r="B67" s="13">
        <v>400</v>
      </c>
      <c r="C67" s="33">
        <f>'2º Alta Frec'!G66</f>
        <v>75.344376956663737</v>
      </c>
      <c r="D67" s="33">
        <f>'1º Alta Frec'!M196</f>
        <v>103.69405326030659</v>
      </c>
      <c r="E67" s="33">
        <f t="shared" si="18"/>
        <v>28.349676303642852</v>
      </c>
      <c r="F67" s="18">
        <f>Datos!D174</f>
        <v>0.43</v>
      </c>
      <c r="G67" s="33">
        <v>0.5</v>
      </c>
      <c r="H67" s="14">
        <f t="shared" si="19"/>
        <v>27.694660816078528</v>
      </c>
      <c r="I67" s="65">
        <f t="shared" si="20"/>
        <v>8.7069767441860471</v>
      </c>
      <c r="J67" s="14">
        <f t="shared" si="16"/>
        <v>29.462527683251853</v>
      </c>
      <c r="K67" s="2"/>
      <c r="L67" s="13">
        <v>400</v>
      </c>
      <c r="M67" s="33">
        <f>'2º Alta Frec'!N66</f>
        <v>68.360448816906242</v>
      </c>
      <c r="N67" s="33">
        <f>'1º Alta Frec'!V196</f>
        <v>104.49973223069404</v>
      </c>
      <c r="O67" s="33">
        <f t="shared" si="21"/>
        <v>36.139283413787794</v>
      </c>
      <c r="P67" s="18">
        <f>Datos!D174</f>
        <v>0.43</v>
      </c>
      <c r="Q67" s="33">
        <v>0.5</v>
      </c>
      <c r="R67" s="14">
        <f t="shared" si="22"/>
        <v>35.484267926223474</v>
      </c>
      <c r="S67" s="65">
        <f t="shared" si="23"/>
        <v>8.7069767441860471</v>
      </c>
      <c r="T67" s="14">
        <f t="shared" si="17"/>
        <v>37.252134793396799</v>
      </c>
    </row>
    <row r="68" spans="2:20" x14ac:dyDescent="0.2">
      <c r="B68" s="13">
        <v>500</v>
      </c>
      <c r="C68" s="33">
        <f>'2º Alta Frec'!G67</f>
        <v>72.61839679768795</v>
      </c>
      <c r="D68" s="33">
        <f>'1º Alta Frec'!M197</f>
        <v>104.6316886479341</v>
      </c>
      <c r="E68" s="33">
        <f t="shared" si="18"/>
        <v>32.013291850246148</v>
      </c>
      <c r="F68" s="18">
        <f>Datos!D175</f>
        <v>0.38</v>
      </c>
      <c r="G68" s="33">
        <v>0.5</v>
      </c>
      <c r="H68" s="14">
        <f t="shared" si="19"/>
        <v>30.821427773054062</v>
      </c>
      <c r="I68" s="65">
        <f t="shared" si="20"/>
        <v>9.8526315789473689</v>
      </c>
      <c r="J68" s="14">
        <f t="shared" si="16"/>
        <v>32.589294640227386</v>
      </c>
      <c r="K68" s="2"/>
      <c r="L68" s="13">
        <v>500</v>
      </c>
      <c r="M68" s="33">
        <f>'2º Alta Frec'!N67</f>
        <v>64.115469623230098</v>
      </c>
      <c r="N68" s="33">
        <f>'1º Alta Frec'!V197</f>
        <v>100.64291755319439</v>
      </c>
      <c r="O68" s="33">
        <f t="shared" si="21"/>
        <v>36.527447929964296</v>
      </c>
      <c r="P68" s="18">
        <f>Datos!D175</f>
        <v>0.38</v>
      </c>
      <c r="Q68" s="33">
        <v>0.5</v>
      </c>
      <c r="R68" s="14">
        <f t="shared" si="22"/>
        <v>35.33558385277221</v>
      </c>
      <c r="S68" s="65">
        <f t="shared" si="23"/>
        <v>9.8526315789473689</v>
      </c>
      <c r="T68" s="14">
        <f t="shared" si="17"/>
        <v>37.103450719945535</v>
      </c>
    </row>
    <row r="69" spans="2:20" x14ac:dyDescent="0.2">
      <c r="B69" s="13">
        <v>630</v>
      </c>
      <c r="C69" s="33">
        <f>'2º Alta Frec'!G68</f>
        <v>72.639907296909044</v>
      </c>
      <c r="D69" s="33">
        <f>'1º Alta Frec'!M198</f>
        <v>102.17943515987918</v>
      </c>
      <c r="E69" s="33">
        <f t="shared" si="18"/>
        <v>29.539527862970132</v>
      </c>
      <c r="F69" s="18">
        <f>Datos!D176</f>
        <v>0.41</v>
      </c>
      <c r="G69" s="33">
        <v>0.5</v>
      </c>
      <c r="H69" s="14">
        <f t="shared" si="19"/>
        <v>28.677666386807299</v>
      </c>
      <c r="I69" s="65">
        <f t="shared" si="20"/>
        <v>9.1317073170731717</v>
      </c>
      <c r="J69" s="14">
        <f t="shared" si="16"/>
        <v>30.445533253980624</v>
      </c>
      <c r="K69" s="2"/>
      <c r="L69" s="13">
        <v>630</v>
      </c>
      <c r="M69" s="33">
        <f>'2º Alta Frec'!N68</f>
        <v>62.489226352114684</v>
      </c>
      <c r="N69" s="33">
        <f>'1º Alta Frec'!V198</f>
        <v>102.15406276502361</v>
      </c>
      <c r="O69" s="33">
        <f t="shared" si="21"/>
        <v>39.664836412908926</v>
      </c>
      <c r="P69" s="18">
        <f>Datos!D176</f>
        <v>0.41</v>
      </c>
      <c r="Q69" s="33">
        <v>0.5</v>
      </c>
      <c r="R69" s="14">
        <f t="shared" si="22"/>
        <v>38.802974936746089</v>
      </c>
      <c r="S69" s="65">
        <f t="shared" si="23"/>
        <v>9.1317073170731717</v>
      </c>
      <c r="T69" s="14">
        <f t="shared" si="17"/>
        <v>40.570841803919414</v>
      </c>
    </row>
    <row r="70" spans="2:20" x14ac:dyDescent="0.2">
      <c r="B70" s="13">
        <v>800</v>
      </c>
      <c r="C70" s="33">
        <f>'2º Alta Frec'!G69</f>
        <v>68.965871155351579</v>
      </c>
      <c r="D70" s="33">
        <f>'1º Alta Frec'!M199</f>
        <v>101.46577033732814</v>
      </c>
      <c r="E70" s="33">
        <f t="shared" si="18"/>
        <v>32.499899181976559</v>
      </c>
      <c r="F70" s="18">
        <f>Datos!D177</f>
        <v>0.44</v>
      </c>
      <c r="G70" s="33">
        <v>0.5</v>
      </c>
      <c r="H70" s="14">
        <f t="shared" si="19"/>
        <v>31.944725903478247</v>
      </c>
      <c r="I70" s="65">
        <f t="shared" si="20"/>
        <v>8.5090909090909097</v>
      </c>
      <c r="J70" s="14">
        <f t="shared" si="16"/>
        <v>33.712592770651568</v>
      </c>
      <c r="K70" s="2"/>
      <c r="L70" s="13">
        <v>800</v>
      </c>
      <c r="M70" s="33">
        <f>'2º Alta Frec'!N69</f>
        <v>59.618180566268009</v>
      </c>
      <c r="N70" s="33">
        <f>'1º Alta Frec'!V199</f>
        <v>101.45783715993198</v>
      </c>
      <c r="O70" s="33">
        <f t="shared" si="21"/>
        <v>41.839656593663975</v>
      </c>
      <c r="P70" s="18">
        <f>Datos!D177</f>
        <v>0.44</v>
      </c>
      <c r="Q70" s="33">
        <v>0.5</v>
      </c>
      <c r="R70" s="14">
        <f t="shared" si="22"/>
        <v>41.284483315165659</v>
      </c>
      <c r="S70" s="65">
        <f t="shared" si="23"/>
        <v>8.5090909090909097</v>
      </c>
      <c r="T70" s="14">
        <f t="shared" si="17"/>
        <v>43.052350182338984</v>
      </c>
    </row>
    <row r="71" spans="2:20" x14ac:dyDescent="0.2">
      <c r="B71" s="13">
        <v>1000</v>
      </c>
      <c r="C71" s="33">
        <f>'2º Alta Frec'!G70</f>
        <v>66.014556605571514</v>
      </c>
      <c r="D71" s="33">
        <f>'1º Alta Frec'!M200</f>
        <v>99.980836543715071</v>
      </c>
      <c r="E71" s="33">
        <f t="shared" si="18"/>
        <v>33.966279938143558</v>
      </c>
      <c r="F71" s="18">
        <f>Datos!D178</f>
        <v>0.5</v>
      </c>
      <c r="G71" s="33">
        <v>0.5</v>
      </c>
      <c r="H71" s="14">
        <f t="shared" si="19"/>
        <v>33.966279938143558</v>
      </c>
      <c r="I71" s="65">
        <f t="shared" si="20"/>
        <v>7.4880000000000004</v>
      </c>
      <c r="J71" s="14">
        <f t="shared" si="16"/>
        <v>35.734146805316882</v>
      </c>
      <c r="K71" s="2"/>
      <c r="L71" s="13">
        <v>1000</v>
      </c>
      <c r="M71" s="33">
        <f>'2º Alta Frec'!N70</f>
        <v>56.004157112074751</v>
      </c>
      <c r="N71" s="33">
        <f>'1º Alta Frec'!V200</f>
        <v>98.278968210323711</v>
      </c>
      <c r="O71" s="33">
        <f t="shared" si="21"/>
        <v>42.274811098248961</v>
      </c>
      <c r="P71" s="18">
        <f>Datos!D178</f>
        <v>0.5</v>
      </c>
      <c r="Q71" s="33">
        <v>0.5</v>
      </c>
      <c r="R71" s="14">
        <f t="shared" si="22"/>
        <v>42.274811098248961</v>
      </c>
      <c r="S71" s="65">
        <f t="shared" si="23"/>
        <v>7.4880000000000004</v>
      </c>
      <c r="T71" s="14">
        <f t="shared" si="17"/>
        <v>44.042677965422286</v>
      </c>
    </row>
    <row r="72" spans="2:20" x14ac:dyDescent="0.2">
      <c r="B72" s="13">
        <v>1250</v>
      </c>
      <c r="C72" s="33">
        <f>'2º Alta Frec'!G71</f>
        <v>63.907435056714732</v>
      </c>
      <c r="D72" s="33">
        <f>'1º Alta Frec'!M201</f>
        <v>99.001473503415994</v>
      </c>
      <c r="E72" s="33">
        <f t="shared" si="18"/>
        <v>35.094038446701262</v>
      </c>
      <c r="F72" s="18">
        <f>Datos!D179</f>
        <v>0.44</v>
      </c>
      <c r="G72" s="33">
        <v>0.5</v>
      </c>
      <c r="H72" s="14">
        <f t="shared" si="19"/>
        <v>34.538865168202946</v>
      </c>
      <c r="I72" s="65">
        <f t="shared" si="20"/>
        <v>8.5090909090909097</v>
      </c>
      <c r="J72" s="14">
        <f t="shared" si="16"/>
        <v>36.306732035376271</v>
      </c>
      <c r="K72" s="2"/>
      <c r="L72" s="13">
        <v>1250</v>
      </c>
      <c r="M72" s="33">
        <f>'2º Alta Frec'!N71</f>
        <v>53.763049555995465</v>
      </c>
      <c r="N72" s="33">
        <f>'1º Alta Frec'!V201</f>
        <v>97.943513159102309</v>
      </c>
      <c r="O72" s="33">
        <f t="shared" si="21"/>
        <v>44.180463603106844</v>
      </c>
      <c r="P72" s="18">
        <f>Datos!D179</f>
        <v>0.44</v>
      </c>
      <c r="Q72" s="33">
        <v>0.5</v>
      </c>
      <c r="R72" s="14">
        <f t="shared" si="22"/>
        <v>43.625290324608528</v>
      </c>
      <c r="S72" s="65">
        <f t="shared" si="23"/>
        <v>8.5090909090909097</v>
      </c>
      <c r="T72" s="14">
        <f t="shared" si="17"/>
        <v>45.393157191781853</v>
      </c>
    </row>
    <row r="73" spans="2:20" x14ac:dyDescent="0.2">
      <c r="B73" s="13">
        <v>1600</v>
      </c>
      <c r="C73" s="33">
        <f>'2º Alta Frec'!G72</f>
        <v>62.341818530163295</v>
      </c>
      <c r="D73" s="33">
        <f>'1º Alta Frec'!M202</f>
        <v>98.289932760871466</v>
      </c>
      <c r="E73" s="33">
        <f t="shared" si="18"/>
        <v>35.948114230708171</v>
      </c>
      <c r="F73" s="18">
        <f>Datos!D180</f>
        <v>0.45</v>
      </c>
      <c r="G73" s="33">
        <v>0.5</v>
      </c>
      <c r="H73" s="14">
        <f t="shared" si="19"/>
        <v>35.490539325101423</v>
      </c>
      <c r="I73" s="65">
        <f t="shared" si="20"/>
        <v>8.32</v>
      </c>
      <c r="J73" s="14">
        <f t="shared" si="16"/>
        <v>37.258406192274741</v>
      </c>
      <c r="K73" s="2"/>
      <c r="L73" s="13">
        <v>1600</v>
      </c>
      <c r="M73" s="33">
        <f>'2º Alta Frec'!N72</f>
        <v>52.083488488670255</v>
      </c>
      <c r="N73" s="33">
        <f>'1º Alta Frec'!V202</f>
        <v>96.578810906263101</v>
      </c>
      <c r="O73" s="33">
        <f t="shared" si="21"/>
        <v>44.495322417592845</v>
      </c>
      <c r="P73" s="18">
        <f>Datos!D180</f>
        <v>0.45</v>
      </c>
      <c r="Q73" s="33">
        <v>0.5</v>
      </c>
      <c r="R73" s="14">
        <f t="shared" si="22"/>
        <v>44.037747511986097</v>
      </c>
      <c r="S73" s="65">
        <f t="shared" si="23"/>
        <v>8.32</v>
      </c>
      <c r="T73" s="14">
        <f t="shared" si="17"/>
        <v>45.805614379159415</v>
      </c>
    </row>
    <row r="74" spans="2:20" x14ac:dyDescent="0.2">
      <c r="B74" s="13">
        <v>2000</v>
      </c>
      <c r="C74" s="33">
        <f>'2º Alta Frec'!G73</f>
        <v>60.411918938310052</v>
      </c>
      <c r="D74" s="33">
        <f>'1º Alta Frec'!M203</f>
        <v>98.048458277988146</v>
      </c>
      <c r="E74" s="33">
        <f t="shared" si="18"/>
        <v>37.636539339678095</v>
      </c>
      <c r="F74" s="18">
        <f>Datos!D181</f>
        <v>0.43</v>
      </c>
      <c r="G74" s="33">
        <v>0.5</v>
      </c>
      <c r="H74" s="14">
        <f t="shared" si="19"/>
        <v>36.981523852113774</v>
      </c>
      <c r="I74" s="65">
        <f t="shared" si="20"/>
        <v>8.7069767441860471</v>
      </c>
      <c r="J74" s="14">
        <f t="shared" si="16"/>
        <v>38.749390719287099</v>
      </c>
      <c r="K74" s="2"/>
      <c r="L74" s="13">
        <v>2000</v>
      </c>
      <c r="M74" s="33">
        <f>'2º Alta Frec'!N73</f>
        <v>50.351834651200875</v>
      </c>
      <c r="N74" s="33">
        <f>'1º Alta Frec'!V203</f>
        <v>95.76015144798285</v>
      </c>
      <c r="O74" s="33">
        <f t="shared" si="21"/>
        <v>45.408316796781975</v>
      </c>
      <c r="P74" s="18">
        <f>Datos!D181</f>
        <v>0.43</v>
      </c>
      <c r="Q74" s="33">
        <v>0.5</v>
      </c>
      <c r="R74" s="14">
        <f t="shared" si="22"/>
        <v>44.753301309217655</v>
      </c>
      <c r="S74" s="65">
        <f t="shared" si="23"/>
        <v>8.7069767441860471</v>
      </c>
      <c r="T74" s="14">
        <f t="shared" si="17"/>
        <v>46.521168176390979</v>
      </c>
    </row>
    <row r="75" spans="2:20" x14ac:dyDescent="0.2">
      <c r="B75" s="13">
        <v>2500</v>
      </c>
      <c r="C75" s="33">
        <f>'2º Alta Frec'!G74</f>
        <v>62.194517908736238</v>
      </c>
      <c r="D75" s="33">
        <f>'1º Alta Frec'!M204</f>
        <v>98.936793621565016</v>
      </c>
      <c r="E75" s="33">
        <f t="shared" si="18"/>
        <v>36.742275712828778</v>
      </c>
      <c r="F75" s="18">
        <f>Datos!D182</f>
        <v>0.43</v>
      </c>
      <c r="G75" s="33">
        <v>0.5</v>
      </c>
      <c r="H75" s="14">
        <f t="shared" si="19"/>
        <v>36.087260225264458</v>
      </c>
      <c r="I75" s="65">
        <f t="shared" si="20"/>
        <v>8.7069767441860471</v>
      </c>
      <c r="J75" s="14">
        <f t="shared" si="16"/>
        <v>37.855127092437783</v>
      </c>
      <c r="K75" s="2"/>
      <c r="L75" s="13">
        <v>2500</v>
      </c>
      <c r="M75" s="33">
        <f>'2º Alta Frec'!N74</f>
        <v>53.074252144983703</v>
      </c>
      <c r="N75" s="33">
        <f>'1º Alta Frec'!V204</f>
        <v>98.013161480521632</v>
      </c>
      <c r="O75" s="33">
        <f t="shared" si="21"/>
        <v>44.938909335537929</v>
      </c>
      <c r="P75" s="18">
        <f>Datos!D182</f>
        <v>0.43</v>
      </c>
      <c r="Q75" s="33">
        <v>0.5</v>
      </c>
      <c r="R75" s="14">
        <f t="shared" si="22"/>
        <v>44.283893847973609</v>
      </c>
      <c r="S75" s="65">
        <f t="shared" si="23"/>
        <v>8.7069767441860471</v>
      </c>
      <c r="T75" s="14">
        <f t="shared" si="17"/>
        <v>46.051760715146933</v>
      </c>
    </row>
    <row r="76" spans="2:20" x14ac:dyDescent="0.2">
      <c r="B76" s="13">
        <v>3150</v>
      </c>
      <c r="C76" s="33">
        <f>'2º Alta Frec'!G75</f>
        <v>62.582832987417433</v>
      </c>
      <c r="D76" s="33">
        <f>'1º Alta Frec'!M205</f>
        <v>97.36524410109071</v>
      </c>
      <c r="E76" s="33">
        <f t="shared" si="18"/>
        <v>34.782411113673277</v>
      </c>
      <c r="F76" s="18">
        <f>Datos!D183</f>
        <v>0.41</v>
      </c>
      <c r="G76" s="33">
        <v>0.5</v>
      </c>
      <c r="H76" s="14">
        <f t="shared" si="19"/>
        <v>33.92054963751044</v>
      </c>
      <c r="I76" s="65">
        <f t="shared" si="20"/>
        <v>9.1317073170731717</v>
      </c>
      <c r="J76" s="14">
        <f t="shared" si="16"/>
        <v>35.688416504683765</v>
      </c>
      <c r="K76" s="2"/>
      <c r="L76" s="13">
        <v>3150</v>
      </c>
      <c r="M76" s="33">
        <f>'2º Alta Frec'!N75</f>
        <v>53.479551494950101</v>
      </c>
      <c r="N76" s="33">
        <f>'1º Alta Frec'!V205</f>
        <v>95.45295979312364</v>
      </c>
      <c r="O76" s="33">
        <f t="shared" si="21"/>
        <v>41.973408298173538</v>
      </c>
      <c r="P76" s="18">
        <f>Datos!D183</f>
        <v>0.41</v>
      </c>
      <c r="Q76" s="33">
        <v>0.5</v>
      </c>
      <c r="R76" s="14">
        <f t="shared" si="22"/>
        <v>41.111546822010702</v>
      </c>
      <c r="S76" s="65">
        <f t="shared" si="23"/>
        <v>9.1317073170731717</v>
      </c>
      <c r="T76" s="14">
        <f t="shared" si="17"/>
        <v>42.879413689184027</v>
      </c>
    </row>
    <row r="77" spans="2:20" x14ac:dyDescent="0.2">
      <c r="B77" s="13">
        <v>4000</v>
      </c>
      <c r="C77" s="33">
        <f>'2º Alta Frec'!G76</f>
        <v>58.132364794909854</v>
      </c>
      <c r="D77" s="33">
        <f>'1º Alta Frec'!M206</f>
        <v>93.535420989634645</v>
      </c>
      <c r="E77" s="33">
        <f t="shared" si="18"/>
        <v>35.40305619472479</v>
      </c>
      <c r="F77" s="18">
        <f>Datos!D184</f>
        <v>0.4</v>
      </c>
      <c r="G77" s="33">
        <v>0.5</v>
      </c>
      <c r="H77" s="14">
        <f t="shared" si="19"/>
        <v>34.433956064644228</v>
      </c>
      <c r="I77" s="65">
        <f t="shared" si="20"/>
        <v>9.36</v>
      </c>
      <c r="J77" s="14">
        <f t="shared" si="16"/>
        <v>36.201822931817553</v>
      </c>
      <c r="K77" s="2"/>
      <c r="L77" s="13">
        <v>4000</v>
      </c>
      <c r="M77" s="33">
        <f>'2º Alta Frec'!N76</f>
        <v>48.929953968147764</v>
      </c>
      <c r="N77" s="33">
        <f>'1º Alta Frec'!V206</f>
        <v>92.713434364540163</v>
      </c>
      <c r="O77" s="33">
        <f t="shared" si="21"/>
        <v>43.783480396392399</v>
      </c>
      <c r="P77" s="18">
        <f>Datos!D184</f>
        <v>0.4</v>
      </c>
      <c r="Q77" s="33">
        <v>0.5</v>
      </c>
      <c r="R77" s="14">
        <f t="shared" si="22"/>
        <v>42.814380266311836</v>
      </c>
      <c r="S77" s="65">
        <f t="shared" si="23"/>
        <v>9.36</v>
      </c>
      <c r="T77" s="14">
        <f t="shared" si="17"/>
        <v>44.582247133485161</v>
      </c>
    </row>
    <row r="78" spans="2:20" x14ac:dyDescent="0.2">
      <c r="B78" s="15">
        <v>5000</v>
      </c>
      <c r="C78" s="23">
        <f>'2º Alta Frec'!G77</f>
        <v>53.004510514782481</v>
      </c>
      <c r="D78" s="23">
        <f>'1º Alta Frec'!M207</f>
        <v>91.774770825635329</v>
      </c>
      <c r="E78" s="23">
        <f t="shared" si="18"/>
        <v>38.770260310852848</v>
      </c>
      <c r="F78" s="16">
        <f>Datos!D185</f>
        <v>0.39</v>
      </c>
      <c r="G78" s="23">
        <v>0.5</v>
      </c>
      <c r="H78" s="17">
        <f t="shared" si="19"/>
        <v>37.691206337757649</v>
      </c>
      <c r="I78" s="67">
        <f t="shared" si="20"/>
        <v>9.6</v>
      </c>
      <c r="J78" s="17">
        <f t="shared" si="16"/>
        <v>39.459073204930974</v>
      </c>
      <c r="K78" s="2"/>
      <c r="L78" s="15">
        <v>5000</v>
      </c>
      <c r="M78" s="23">
        <f>'2º Alta Frec'!N77</f>
        <v>43.798287595789319</v>
      </c>
      <c r="N78" s="23">
        <f>'1º Alta Frec'!V207</f>
        <v>90.924826443865953</v>
      </c>
      <c r="O78" s="23">
        <f t="shared" si="21"/>
        <v>47.126538848076635</v>
      </c>
      <c r="P78" s="16">
        <f>Datos!D185</f>
        <v>0.39</v>
      </c>
      <c r="Q78" s="23">
        <v>0.5</v>
      </c>
      <c r="R78" s="17">
        <f t="shared" si="22"/>
        <v>46.047484874981436</v>
      </c>
      <c r="S78" s="67">
        <f t="shared" si="23"/>
        <v>9.6</v>
      </c>
      <c r="T78" s="17">
        <f t="shared" si="17"/>
        <v>47.81535174215476</v>
      </c>
    </row>
    <row r="82" spans="2:20" x14ac:dyDescent="0.2">
      <c r="B82" s="178" t="s">
        <v>45</v>
      </c>
      <c r="C82" s="179"/>
      <c r="D82" s="179"/>
      <c r="E82" s="179"/>
      <c r="F82" s="179"/>
      <c r="G82" s="179"/>
      <c r="H82" s="179"/>
      <c r="I82" s="179"/>
      <c r="J82" s="180"/>
      <c r="K82" s="2"/>
      <c r="L82" s="178" t="s">
        <v>45</v>
      </c>
      <c r="M82" s="179"/>
      <c r="N82" s="179"/>
      <c r="O82" s="179"/>
      <c r="P82" s="179"/>
      <c r="Q82" s="179"/>
      <c r="R82" s="179"/>
      <c r="S82" s="179"/>
      <c r="T82" s="180"/>
    </row>
    <row r="83" spans="2:20" ht="23" customHeight="1" x14ac:dyDescent="0.2">
      <c r="B83" s="162" t="s">
        <v>25</v>
      </c>
      <c r="C83" s="163"/>
      <c r="D83" s="163"/>
      <c r="E83" s="163"/>
      <c r="F83" s="163"/>
      <c r="G83" s="163"/>
      <c r="H83" s="164"/>
      <c r="I83" s="69"/>
      <c r="J83" s="70">
        <f>2.5*4.5</f>
        <v>11.25</v>
      </c>
      <c r="K83" s="2"/>
      <c r="L83" s="162" t="s">
        <v>28</v>
      </c>
      <c r="M83" s="163"/>
      <c r="N83" s="163"/>
      <c r="O83" s="163"/>
      <c r="P83" s="163"/>
      <c r="Q83" s="163"/>
      <c r="R83" s="164"/>
      <c r="S83" s="69"/>
      <c r="T83" s="70">
        <f>2.5*4.5</f>
        <v>11.25</v>
      </c>
    </row>
    <row r="84" spans="2:20" ht="33" customHeight="1" x14ac:dyDescent="0.2">
      <c r="B84" s="9"/>
      <c r="C84" s="11"/>
      <c r="D84" s="21"/>
      <c r="E84" s="21"/>
      <c r="F84" s="25"/>
      <c r="G84" s="21"/>
      <c r="H84" s="26"/>
      <c r="I84" s="21"/>
      <c r="J84" s="26"/>
      <c r="K84" s="27"/>
      <c r="L84" s="9"/>
      <c r="M84" s="11"/>
      <c r="N84" s="21"/>
      <c r="O84" s="21"/>
      <c r="P84" s="25"/>
      <c r="Q84" s="21"/>
      <c r="R84" s="26"/>
      <c r="S84" s="21"/>
      <c r="T84" s="26"/>
    </row>
    <row r="85" spans="2:20" x14ac:dyDescent="0.2">
      <c r="B85" s="13">
        <v>50</v>
      </c>
      <c r="C85" s="33">
        <f>'2º Alta Frec'!G83</f>
        <v>62.203847125982136</v>
      </c>
      <c r="D85" s="33">
        <f>'1º Alta Frec'!M213</f>
        <v>85.358379325969992</v>
      </c>
      <c r="E85" s="33">
        <f>D85-C85</f>
        <v>23.154532199987855</v>
      </c>
      <c r="F85" s="18">
        <f>Datos!D165</f>
        <v>1.29</v>
      </c>
      <c r="G85" s="33">
        <v>0.5</v>
      </c>
      <c r="H85" s="14">
        <f>E85+(10*LOG10(F85/G85))</f>
        <v>27.270729259620158</v>
      </c>
      <c r="I85" s="65">
        <f>(0.16*4.5*2.08*2.5)/F85</f>
        <v>2.902325581395349</v>
      </c>
      <c r="J85" s="14">
        <f t="shared" ref="J85:J105" si="24">E85+10*LOG10($J$83/I85)</f>
        <v>29.038596126793482</v>
      </c>
      <c r="K85" s="2"/>
      <c r="L85" s="13">
        <v>50</v>
      </c>
      <c r="M85" s="33">
        <f>'2º Alta Frec'!N83</f>
        <v>60.353684084422554</v>
      </c>
      <c r="N85" s="33">
        <f>'1º Alta Frec'!V213</f>
        <v>80.551905465327579</v>
      </c>
      <c r="O85" s="33">
        <f>N85-M85</f>
        <v>20.198221380905025</v>
      </c>
      <c r="P85" s="18">
        <f>Datos!D165</f>
        <v>1.29</v>
      </c>
      <c r="Q85" s="33">
        <v>0.5</v>
      </c>
      <c r="R85" s="14">
        <f>O85+(10*LOG10(P85/Q85))</f>
        <v>24.314418440537327</v>
      </c>
      <c r="S85" s="65">
        <f>(0.16*4.5*2.08*2.5)/P85</f>
        <v>2.902325581395349</v>
      </c>
      <c r="T85" s="14">
        <f t="shared" ref="T85:T105" si="25">O85+10*LOG10($T$83/S85)</f>
        <v>26.082285307710652</v>
      </c>
    </row>
    <row r="86" spans="2:20" x14ac:dyDescent="0.2">
      <c r="B86" s="13">
        <v>63</v>
      </c>
      <c r="C86" s="33">
        <f>'2º Alta Frec'!G84</f>
        <v>56.479854198432086</v>
      </c>
      <c r="D86" s="33">
        <f>'1º Alta Frec'!M214</f>
        <v>89.976830343281506</v>
      </c>
      <c r="E86" s="33">
        <f t="shared" ref="E86:E105" si="26">D86-C86</f>
        <v>33.49697614484942</v>
      </c>
      <c r="F86" s="18">
        <f>Datos!D166</f>
        <v>0.53</v>
      </c>
      <c r="G86" s="33">
        <v>0.5</v>
      </c>
      <c r="H86" s="14">
        <f t="shared" ref="H86:H105" si="27">E86+(10*LOG10(F86/G86))</f>
        <v>33.750034797497122</v>
      </c>
      <c r="I86" s="65">
        <f t="shared" ref="I86:I105" si="28">(0.16*4.5*2.08*2.5)/F86</f>
        <v>7.0641509433962266</v>
      </c>
      <c r="J86" s="14">
        <f t="shared" si="24"/>
        <v>35.517901664670447</v>
      </c>
      <c r="K86" s="2"/>
      <c r="L86" s="13">
        <v>63</v>
      </c>
      <c r="M86" s="33">
        <f>'2º Alta Frec'!N84</f>
        <v>59.557040288110926</v>
      </c>
      <c r="N86" s="33">
        <f>'1º Alta Frec'!V214</f>
        <v>86.374637782171604</v>
      </c>
      <c r="O86" s="33">
        <f t="shared" ref="O86:O105" si="29">N86-M86</f>
        <v>26.817597494060678</v>
      </c>
      <c r="P86" s="18">
        <f>Datos!D166</f>
        <v>0.53</v>
      </c>
      <c r="Q86" s="33">
        <v>0.5</v>
      </c>
      <c r="R86" s="14">
        <f>O86+(10*LOG10(P86/Q86))</f>
        <v>27.07065614670838</v>
      </c>
      <c r="S86" s="65">
        <f t="shared" ref="S86:S105" si="30">(0.16*4.5*2.08*2.5)/P86</f>
        <v>7.0641509433962266</v>
      </c>
      <c r="T86" s="14">
        <f t="shared" si="25"/>
        <v>28.838523013881705</v>
      </c>
    </row>
    <row r="87" spans="2:20" x14ac:dyDescent="0.2">
      <c r="B87" s="13">
        <v>80</v>
      </c>
      <c r="C87" s="33">
        <f>'2º Alta Frec'!G85</f>
        <v>64.548331212128701</v>
      </c>
      <c r="D87" s="33">
        <f>'1º Alta Frec'!M215</f>
        <v>92.081919785837343</v>
      </c>
      <c r="E87" s="33">
        <f t="shared" si="26"/>
        <v>27.533588573708641</v>
      </c>
      <c r="F87" s="18">
        <f>Datos!D167</f>
        <v>0.52</v>
      </c>
      <c r="G87" s="33">
        <v>0.5</v>
      </c>
      <c r="H87" s="14">
        <f t="shared" si="27"/>
        <v>27.703921966696445</v>
      </c>
      <c r="I87" s="65">
        <f t="shared" si="28"/>
        <v>7.2</v>
      </c>
      <c r="J87" s="14">
        <f t="shared" si="24"/>
        <v>29.47178883386977</v>
      </c>
      <c r="K87" s="2"/>
      <c r="L87" s="13">
        <v>80</v>
      </c>
      <c r="M87" s="33">
        <f>'2º Alta Frec'!N85</f>
        <v>66.746428501190309</v>
      </c>
      <c r="N87" s="33">
        <f>'1º Alta Frec'!V215</f>
        <v>91.522951419290379</v>
      </c>
      <c r="O87" s="33">
        <f t="shared" si="29"/>
        <v>24.776522918100071</v>
      </c>
      <c r="P87" s="18">
        <f>Datos!D167</f>
        <v>0.52</v>
      </c>
      <c r="Q87" s="33">
        <v>0.5</v>
      </c>
      <c r="R87" s="14">
        <f t="shared" ref="R87:R105" si="31">O87+(10*LOG10(P87/Q87))</f>
        <v>24.946856311087874</v>
      </c>
      <c r="S87" s="65">
        <f t="shared" si="30"/>
        <v>7.2</v>
      </c>
      <c r="T87" s="14">
        <f t="shared" si="25"/>
        <v>26.714723178261199</v>
      </c>
    </row>
    <row r="88" spans="2:20" x14ac:dyDescent="0.2">
      <c r="B88" s="13">
        <v>100</v>
      </c>
      <c r="C88" s="33">
        <f>'2º Alta Frec'!G86</f>
        <v>59.119915854453389</v>
      </c>
      <c r="D88" s="33">
        <f>'1º Alta Frec'!M216</f>
        <v>87.754483126196746</v>
      </c>
      <c r="E88" s="33">
        <f t="shared" si="26"/>
        <v>28.634567271743357</v>
      </c>
      <c r="F88" s="18">
        <f>Datos!D168</f>
        <v>0.93</v>
      </c>
      <c r="G88" s="33">
        <v>0.5</v>
      </c>
      <c r="H88" s="14">
        <f t="shared" si="27"/>
        <v>31.32969671392252</v>
      </c>
      <c r="I88" s="65">
        <f t="shared" si="28"/>
        <v>4.0258064516129028</v>
      </c>
      <c r="J88" s="14">
        <f t="shared" si="24"/>
        <v>33.097563581095848</v>
      </c>
      <c r="K88" s="2"/>
      <c r="L88" s="13">
        <v>100</v>
      </c>
      <c r="M88" s="33">
        <f>'2º Alta Frec'!N86</f>
        <v>61.270304444135952</v>
      </c>
      <c r="N88" s="33">
        <f>'1º Alta Frec'!V216</f>
        <v>92.220616724858928</v>
      </c>
      <c r="O88" s="33">
        <f t="shared" si="29"/>
        <v>30.950312280722976</v>
      </c>
      <c r="P88" s="18">
        <f>Datos!D168</f>
        <v>0.93</v>
      </c>
      <c r="Q88" s="33">
        <v>0.5</v>
      </c>
      <c r="R88" s="14">
        <f t="shared" si="31"/>
        <v>33.645441722902142</v>
      </c>
      <c r="S88" s="65">
        <f t="shared" si="30"/>
        <v>4.0258064516129028</v>
      </c>
      <c r="T88" s="14">
        <f t="shared" si="25"/>
        <v>35.413308590075466</v>
      </c>
    </row>
    <row r="89" spans="2:20" x14ac:dyDescent="0.2">
      <c r="B89" s="13">
        <v>125</v>
      </c>
      <c r="C89" s="33">
        <f>'2º Alta Frec'!G87</f>
        <v>67.180322949173345</v>
      </c>
      <c r="D89" s="33">
        <f>'1º Alta Frec'!M217</f>
        <v>90.91556180651142</v>
      </c>
      <c r="E89" s="33">
        <f t="shared" si="26"/>
        <v>23.735238857338075</v>
      </c>
      <c r="F89" s="18">
        <f>Datos!D169</f>
        <v>0.6</v>
      </c>
      <c r="G89" s="33">
        <v>0.5</v>
      </c>
      <c r="H89" s="14">
        <f t="shared" si="27"/>
        <v>24.527051317814323</v>
      </c>
      <c r="I89" s="65">
        <f t="shared" si="28"/>
        <v>6.24</v>
      </c>
      <c r="J89" s="14">
        <f t="shared" si="24"/>
        <v>26.294918184987647</v>
      </c>
      <c r="K89" s="2"/>
      <c r="L89" s="13">
        <v>125</v>
      </c>
      <c r="M89" s="33">
        <f>'2º Alta Frec'!N87</f>
        <v>60.108260270945514</v>
      </c>
      <c r="N89" s="33">
        <f>'1º Alta Frec'!V217</f>
        <v>92.402909786288362</v>
      </c>
      <c r="O89" s="33">
        <f t="shared" si="29"/>
        <v>32.294649515342847</v>
      </c>
      <c r="P89" s="18">
        <f>Datos!D169</f>
        <v>0.6</v>
      </c>
      <c r="Q89" s="33">
        <v>0.5</v>
      </c>
      <c r="R89" s="14">
        <f t="shared" si="31"/>
        <v>33.086461975819098</v>
      </c>
      <c r="S89" s="65">
        <f t="shared" si="30"/>
        <v>6.24</v>
      </c>
      <c r="T89" s="14">
        <f t="shared" si="25"/>
        <v>34.854328842992423</v>
      </c>
    </row>
    <row r="90" spans="2:20" x14ac:dyDescent="0.2">
      <c r="B90" s="13">
        <v>160</v>
      </c>
      <c r="C90" s="33">
        <f>'2º Alta Frec'!G88</f>
        <v>70.954735800386345</v>
      </c>
      <c r="D90" s="33">
        <f>'1º Alta Frec'!M218</f>
        <v>98.773214332514513</v>
      </c>
      <c r="E90" s="33">
        <f t="shared" si="26"/>
        <v>27.818478532128168</v>
      </c>
      <c r="F90" s="18">
        <f>Datos!D170</f>
        <v>0.56000000000000005</v>
      </c>
      <c r="G90" s="33">
        <v>0.5</v>
      </c>
      <c r="H90" s="14">
        <f t="shared" si="27"/>
        <v>28.310658758829984</v>
      </c>
      <c r="I90" s="65">
        <f t="shared" si="28"/>
        <v>6.6857142857142851</v>
      </c>
      <c r="J90" s="14">
        <f t="shared" si="24"/>
        <v>30.078525626003309</v>
      </c>
      <c r="K90" s="2"/>
      <c r="L90" s="13">
        <v>160</v>
      </c>
      <c r="M90" s="33">
        <f>'2º Alta Frec'!N88</f>
        <v>68.549226533992822</v>
      </c>
      <c r="N90" s="33">
        <f>'1º Alta Frec'!V218</f>
        <v>103.10161125650069</v>
      </c>
      <c r="O90" s="33">
        <f t="shared" si="29"/>
        <v>34.552384722507867</v>
      </c>
      <c r="P90" s="18">
        <f>Datos!D170</f>
        <v>0.56000000000000005</v>
      </c>
      <c r="Q90" s="33">
        <v>0.5</v>
      </c>
      <c r="R90" s="14">
        <f t="shared" si="31"/>
        <v>35.044564949209686</v>
      </c>
      <c r="S90" s="65">
        <f t="shared" si="30"/>
        <v>6.6857142857142851</v>
      </c>
      <c r="T90" s="14">
        <f t="shared" si="25"/>
        <v>36.812431816383011</v>
      </c>
    </row>
    <row r="91" spans="2:20" x14ac:dyDescent="0.2">
      <c r="B91" s="13">
        <v>200</v>
      </c>
      <c r="C91" s="33">
        <f>'2º Alta Frec'!G89</f>
        <v>67.5335487123658</v>
      </c>
      <c r="D91" s="33">
        <f>'1º Alta Frec'!M219</f>
        <v>102.80952200457263</v>
      </c>
      <c r="E91" s="33">
        <f t="shared" si="26"/>
        <v>35.275973292206828</v>
      </c>
      <c r="F91" s="18">
        <f>Datos!D171</f>
        <v>0.44</v>
      </c>
      <c r="G91" s="33">
        <v>0.5</v>
      </c>
      <c r="H91" s="14">
        <f t="shared" si="27"/>
        <v>34.720800013708512</v>
      </c>
      <c r="I91" s="65">
        <f t="shared" si="28"/>
        <v>8.5090909090909097</v>
      </c>
      <c r="J91" s="14">
        <f t="shared" si="24"/>
        <v>36.488666880881837</v>
      </c>
      <c r="K91" s="2"/>
      <c r="L91" s="13">
        <v>200</v>
      </c>
      <c r="M91" s="33">
        <f>'2º Alta Frec'!N89</f>
        <v>67.997672145997143</v>
      </c>
      <c r="N91" s="33">
        <f>'1º Alta Frec'!V219</f>
        <v>101.33608580352261</v>
      </c>
      <c r="O91" s="33">
        <f t="shared" si="29"/>
        <v>33.338413657525464</v>
      </c>
      <c r="P91" s="18">
        <f>Datos!D171</f>
        <v>0.44</v>
      </c>
      <c r="Q91" s="33">
        <v>0.5</v>
      </c>
      <c r="R91" s="14">
        <f t="shared" si="31"/>
        <v>32.783240379027148</v>
      </c>
      <c r="S91" s="65">
        <f t="shared" si="30"/>
        <v>8.5090909090909097</v>
      </c>
      <c r="T91" s="14">
        <f t="shared" si="25"/>
        <v>34.551107246200473</v>
      </c>
    </row>
    <row r="92" spans="2:20" x14ac:dyDescent="0.2">
      <c r="B92" s="13">
        <v>250</v>
      </c>
      <c r="C92" s="33">
        <f>'2º Alta Frec'!G90</f>
        <v>69.582611078377425</v>
      </c>
      <c r="D92" s="33">
        <f>'1º Alta Frec'!M220</f>
        <v>104.61838771985873</v>
      </c>
      <c r="E92" s="33">
        <f t="shared" si="26"/>
        <v>35.035776641481306</v>
      </c>
      <c r="F92" s="18">
        <f>Datos!D172</f>
        <v>0.52</v>
      </c>
      <c r="G92" s="33">
        <v>0.5</v>
      </c>
      <c r="H92" s="14">
        <f>E92+(10*LOG10(F92/G92))</f>
        <v>35.206110034469113</v>
      </c>
      <c r="I92" s="65">
        <f t="shared" si="28"/>
        <v>7.2</v>
      </c>
      <c r="J92" s="14">
        <f t="shared" si="24"/>
        <v>36.97397690164243</v>
      </c>
      <c r="K92" s="2"/>
      <c r="L92" s="13">
        <v>250</v>
      </c>
      <c r="M92" s="33">
        <f>'2º Alta Frec'!N90</f>
        <v>72.257800074908999</v>
      </c>
      <c r="N92" s="33">
        <f>'1º Alta Frec'!V220</f>
        <v>102.58927446368163</v>
      </c>
      <c r="O92" s="33">
        <f t="shared" si="29"/>
        <v>30.331474388772634</v>
      </c>
      <c r="P92" s="18">
        <f>Datos!D172</f>
        <v>0.52</v>
      </c>
      <c r="Q92" s="33">
        <v>0.5</v>
      </c>
      <c r="R92" s="14">
        <f t="shared" si="31"/>
        <v>30.501807781760437</v>
      </c>
      <c r="S92" s="65">
        <f t="shared" si="30"/>
        <v>7.2</v>
      </c>
      <c r="T92" s="14">
        <f t="shared" si="25"/>
        <v>32.269674648933758</v>
      </c>
    </row>
    <row r="93" spans="2:20" x14ac:dyDescent="0.2">
      <c r="B93" s="13">
        <v>315</v>
      </c>
      <c r="C93" s="33">
        <f>'2º Alta Frec'!G91</f>
        <v>73.930540838231863</v>
      </c>
      <c r="D93" s="33">
        <f>'1º Alta Frec'!M221</f>
        <v>102.97156897810049</v>
      </c>
      <c r="E93" s="33">
        <f t="shared" si="26"/>
        <v>29.041028139868629</v>
      </c>
      <c r="F93" s="18">
        <f>Datos!D173</f>
        <v>0.55000000000000004</v>
      </c>
      <c r="G93" s="33">
        <v>0.5</v>
      </c>
      <c r="H93" s="14">
        <f t="shared" si="27"/>
        <v>29.454954991450879</v>
      </c>
      <c r="I93" s="65">
        <f t="shared" si="28"/>
        <v>6.8072727272727267</v>
      </c>
      <c r="J93" s="14">
        <f t="shared" si="24"/>
        <v>31.222821858624204</v>
      </c>
      <c r="K93" s="2"/>
      <c r="L93" s="13">
        <v>315</v>
      </c>
      <c r="M93" s="33">
        <f>'2º Alta Frec'!N91</f>
        <v>71.754720226068571</v>
      </c>
      <c r="N93" s="33">
        <f>'1º Alta Frec'!V221</f>
        <v>103.74255284362113</v>
      </c>
      <c r="O93" s="33">
        <f t="shared" si="29"/>
        <v>31.987832617552556</v>
      </c>
      <c r="P93" s="18">
        <f>Datos!D173</f>
        <v>0.55000000000000004</v>
      </c>
      <c r="Q93" s="33">
        <v>0.5</v>
      </c>
      <c r="R93" s="14">
        <f t="shared" si="31"/>
        <v>32.401759469134809</v>
      </c>
      <c r="S93" s="65">
        <f t="shared" si="30"/>
        <v>6.8072727272727267</v>
      </c>
      <c r="T93" s="14">
        <f t="shared" si="25"/>
        <v>34.169626336308134</v>
      </c>
    </row>
    <row r="94" spans="2:20" x14ac:dyDescent="0.2">
      <c r="B94" s="13">
        <v>400</v>
      </c>
      <c r="C94" s="33">
        <f>'2º Alta Frec'!G92</f>
        <v>69.860124933559064</v>
      </c>
      <c r="D94" s="33">
        <f>'1º Alta Frec'!M222</f>
        <v>105.05190343428495</v>
      </c>
      <c r="E94" s="33">
        <f t="shared" si="26"/>
        <v>35.191778500725889</v>
      </c>
      <c r="F94" s="18">
        <f>Datos!D174</f>
        <v>0.43</v>
      </c>
      <c r="G94" s="33">
        <v>0.5</v>
      </c>
      <c r="H94" s="14">
        <f t="shared" si="27"/>
        <v>34.536763013161568</v>
      </c>
      <c r="I94" s="65">
        <f t="shared" si="28"/>
        <v>8.7069767441860471</v>
      </c>
      <c r="J94" s="14">
        <f t="shared" si="24"/>
        <v>36.304629880334893</v>
      </c>
      <c r="K94" s="2"/>
      <c r="L94" s="13">
        <v>400</v>
      </c>
      <c r="M94" s="33">
        <f>'2º Alta Frec'!N92</f>
        <v>70.66884107121939</v>
      </c>
      <c r="N94" s="33">
        <f>'1º Alta Frec'!V222</f>
        <v>104.16514203838075</v>
      </c>
      <c r="O94" s="33">
        <f t="shared" si="29"/>
        <v>33.496300967161361</v>
      </c>
      <c r="P94" s="18">
        <f>Datos!D174</f>
        <v>0.43</v>
      </c>
      <c r="Q94" s="33">
        <v>0.5</v>
      </c>
      <c r="R94" s="14">
        <f t="shared" si="31"/>
        <v>32.84128547959704</v>
      </c>
      <c r="S94" s="65">
        <f t="shared" si="30"/>
        <v>8.7069767441860471</v>
      </c>
      <c r="T94" s="14">
        <f t="shared" si="25"/>
        <v>34.609152346770365</v>
      </c>
    </row>
    <row r="95" spans="2:20" x14ac:dyDescent="0.2">
      <c r="B95" s="13">
        <v>500</v>
      </c>
      <c r="C95" s="33">
        <f>'2º Alta Frec'!G93</f>
        <v>68.001798771761969</v>
      </c>
      <c r="D95" s="33">
        <f>'1º Alta Frec'!M223</f>
        <v>101.55488297088851</v>
      </c>
      <c r="E95" s="33">
        <f t="shared" si="26"/>
        <v>33.553084199126545</v>
      </c>
      <c r="F95" s="18">
        <f>Datos!D175</f>
        <v>0.38</v>
      </c>
      <c r="G95" s="33">
        <v>0.5</v>
      </c>
      <c r="H95" s="14">
        <f t="shared" si="27"/>
        <v>32.361220121934458</v>
      </c>
      <c r="I95" s="65">
        <f t="shared" si="28"/>
        <v>9.8526315789473689</v>
      </c>
      <c r="J95" s="14">
        <f t="shared" si="24"/>
        <v>34.129086989107783</v>
      </c>
      <c r="K95" s="2"/>
      <c r="L95" s="13">
        <v>500</v>
      </c>
      <c r="M95" s="33">
        <f>'2º Alta Frec'!N93</f>
        <v>69.038011313280549</v>
      </c>
      <c r="N95" s="33">
        <f>'1º Alta Frec'!V223</f>
        <v>103.10984948627465</v>
      </c>
      <c r="O95" s="33">
        <f t="shared" si="29"/>
        <v>34.071838172994106</v>
      </c>
      <c r="P95" s="18">
        <f>Datos!D175</f>
        <v>0.38</v>
      </c>
      <c r="Q95" s="33">
        <v>0.5</v>
      </c>
      <c r="R95" s="14">
        <f t="shared" si="31"/>
        <v>32.879974095802019</v>
      </c>
      <c r="S95" s="65">
        <f t="shared" si="30"/>
        <v>9.8526315789473689</v>
      </c>
      <c r="T95" s="14">
        <f t="shared" si="25"/>
        <v>34.647840962975344</v>
      </c>
    </row>
    <row r="96" spans="2:20" x14ac:dyDescent="0.2">
      <c r="B96" s="13">
        <v>630</v>
      </c>
      <c r="C96" s="33">
        <f>'2º Alta Frec'!G94</f>
        <v>67.841459677421398</v>
      </c>
      <c r="D96" s="33">
        <f>'1º Alta Frec'!M224</f>
        <v>102.51527050634182</v>
      </c>
      <c r="E96" s="33">
        <f t="shared" si="26"/>
        <v>34.673810828920423</v>
      </c>
      <c r="F96" s="18">
        <f>Datos!D176</f>
        <v>0.41</v>
      </c>
      <c r="G96" s="33">
        <v>0.5</v>
      </c>
      <c r="H96" s="14">
        <f t="shared" si="27"/>
        <v>33.811949352757587</v>
      </c>
      <c r="I96" s="65">
        <f t="shared" si="28"/>
        <v>9.1317073170731717</v>
      </c>
      <c r="J96" s="14">
        <f t="shared" si="24"/>
        <v>35.579816219930912</v>
      </c>
      <c r="K96" s="2"/>
      <c r="L96" s="13">
        <v>630</v>
      </c>
      <c r="M96" s="33">
        <f>'2º Alta Frec'!N94</f>
        <v>67.010166912467653</v>
      </c>
      <c r="N96" s="33">
        <f>'1º Alta Frec'!V224</f>
        <v>102.88742086750771</v>
      </c>
      <c r="O96" s="33">
        <f t="shared" si="29"/>
        <v>35.877253955040061</v>
      </c>
      <c r="P96" s="18">
        <f>Datos!D176</f>
        <v>0.41</v>
      </c>
      <c r="Q96" s="33">
        <v>0.5</v>
      </c>
      <c r="R96" s="14">
        <f t="shared" si="31"/>
        <v>35.015392478877224</v>
      </c>
      <c r="S96" s="65">
        <f t="shared" si="30"/>
        <v>9.1317073170731717</v>
      </c>
      <c r="T96" s="14">
        <f t="shared" si="25"/>
        <v>36.783259346050549</v>
      </c>
    </row>
    <row r="97" spans="2:20" x14ac:dyDescent="0.2">
      <c r="B97" s="13">
        <v>800</v>
      </c>
      <c r="C97" s="33">
        <f>'2º Alta Frec'!G95</f>
        <v>65.072922107337675</v>
      </c>
      <c r="D97" s="33">
        <f>'1º Alta Frec'!M225</f>
        <v>101.62012319663245</v>
      </c>
      <c r="E97" s="33">
        <f t="shared" si="26"/>
        <v>36.547201089294774</v>
      </c>
      <c r="F97" s="18">
        <f>Datos!D177</f>
        <v>0.44</v>
      </c>
      <c r="G97" s="33">
        <v>0.5</v>
      </c>
      <c r="H97" s="14">
        <f t="shared" si="27"/>
        <v>35.992027810796458</v>
      </c>
      <c r="I97" s="65">
        <f t="shared" si="28"/>
        <v>8.5090909090909097</v>
      </c>
      <c r="J97" s="14">
        <f t="shared" si="24"/>
        <v>37.759894677969783</v>
      </c>
      <c r="K97" s="2"/>
      <c r="L97" s="13">
        <v>800</v>
      </c>
      <c r="M97" s="33">
        <f>'2º Alta Frec'!N95</f>
        <v>64.744325442005476</v>
      </c>
      <c r="N97" s="33">
        <f>'1º Alta Frec'!V225</f>
        <v>101.56309630934631</v>
      </c>
      <c r="O97" s="33">
        <f t="shared" si="29"/>
        <v>36.818770867340831</v>
      </c>
      <c r="P97" s="18">
        <f>Datos!D177</f>
        <v>0.44</v>
      </c>
      <c r="Q97" s="33">
        <v>0.5</v>
      </c>
      <c r="R97" s="14">
        <f t="shared" si="31"/>
        <v>36.263597588842515</v>
      </c>
      <c r="S97" s="65">
        <f t="shared" si="30"/>
        <v>8.5090909090909097</v>
      </c>
      <c r="T97" s="14">
        <f t="shared" si="25"/>
        <v>38.03146445601584</v>
      </c>
    </row>
    <row r="98" spans="2:20" x14ac:dyDescent="0.2">
      <c r="B98" s="13">
        <v>1000</v>
      </c>
      <c r="C98" s="33">
        <f>'2º Alta Frec'!G96</f>
        <v>61.173154053452386</v>
      </c>
      <c r="D98" s="33">
        <f>'1º Alta Frec'!M226</f>
        <v>100.12016396845772</v>
      </c>
      <c r="E98" s="33">
        <f t="shared" si="26"/>
        <v>38.947009915005331</v>
      </c>
      <c r="F98" s="18">
        <f>Datos!D178</f>
        <v>0.5</v>
      </c>
      <c r="G98" s="33">
        <v>0.5</v>
      </c>
      <c r="H98" s="14">
        <f t="shared" si="27"/>
        <v>38.947009915005331</v>
      </c>
      <c r="I98" s="65">
        <f t="shared" si="28"/>
        <v>7.4880000000000004</v>
      </c>
      <c r="J98" s="14">
        <f t="shared" si="24"/>
        <v>40.714876782178656</v>
      </c>
      <c r="K98" s="2"/>
      <c r="L98" s="13">
        <v>1000</v>
      </c>
      <c r="M98" s="33">
        <f>'2º Alta Frec'!N96</f>
        <v>61.157379251940668</v>
      </c>
      <c r="N98" s="33">
        <f>'1º Alta Frec'!V226</f>
        <v>99.771205217763281</v>
      </c>
      <c r="O98" s="33">
        <f t="shared" si="29"/>
        <v>38.613825965822613</v>
      </c>
      <c r="P98" s="18">
        <f>Datos!D178</f>
        <v>0.5</v>
      </c>
      <c r="Q98" s="33">
        <v>0.5</v>
      </c>
      <c r="R98" s="14">
        <f t="shared" si="31"/>
        <v>38.613825965822613</v>
      </c>
      <c r="S98" s="65">
        <f t="shared" si="30"/>
        <v>7.4880000000000004</v>
      </c>
      <c r="T98" s="14">
        <f t="shared" si="25"/>
        <v>40.381692832995938</v>
      </c>
    </row>
    <row r="99" spans="2:20" x14ac:dyDescent="0.2">
      <c r="B99" s="13">
        <v>1250</v>
      </c>
      <c r="C99" s="33">
        <f>'2º Alta Frec'!G97</f>
        <v>57.492899121960697</v>
      </c>
      <c r="D99" s="33">
        <f>'1º Alta Frec'!M227</f>
        <v>99.060505578075393</v>
      </c>
      <c r="E99" s="33">
        <f>D99-C99</f>
        <v>41.567606456114696</v>
      </c>
      <c r="F99" s="18">
        <f>Datos!D179</f>
        <v>0.44</v>
      </c>
      <c r="G99" s="33">
        <v>0.5</v>
      </c>
      <c r="H99" s="14">
        <f t="shared" si="27"/>
        <v>41.01243317761638</v>
      </c>
      <c r="I99" s="65">
        <f t="shared" si="28"/>
        <v>8.5090909090909097</v>
      </c>
      <c r="J99" s="14">
        <f t="shared" si="24"/>
        <v>42.780300044789705</v>
      </c>
      <c r="K99" s="2"/>
      <c r="L99" s="13">
        <v>1250</v>
      </c>
      <c r="M99" s="33">
        <f>'2º Alta Frec'!N97</f>
        <v>56.801066738992496</v>
      </c>
      <c r="N99" s="33">
        <f>'1º Alta Frec'!V227</f>
        <v>98.64458961797439</v>
      </c>
      <c r="O99" s="33">
        <f t="shared" si="29"/>
        <v>41.843522878981894</v>
      </c>
      <c r="P99" s="18">
        <f>Datos!D179</f>
        <v>0.44</v>
      </c>
      <c r="Q99" s="33">
        <v>0.5</v>
      </c>
      <c r="R99" s="14">
        <f t="shared" si="31"/>
        <v>41.288349600483578</v>
      </c>
      <c r="S99" s="65">
        <f t="shared" si="30"/>
        <v>8.5090909090909097</v>
      </c>
      <c r="T99" s="14">
        <f t="shared" si="25"/>
        <v>43.056216467656903</v>
      </c>
    </row>
    <row r="100" spans="2:20" x14ac:dyDescent="0.2">
      <c r="B100" s="13">
        <v>1600</v>
      </c>
      <c r="C100" s="33">
        <f>'2º Alta Frec'!G98</f>
        <v>54.805106608620513</v>
      </c>
      <c r="D100" s="33">
        <f>'1º Alta Frec'!M228</f>
        <v>97.211638392963224</v>
      </c>
      <c r="E100" s="33">
        <f t="shared" si="26"/>
        <v>42.406531784342711</v>
      </c>
      <c r="F100" s="18">
        <f>Datos!D180</f>
        <v>0.45</v>
      </c>
      <c r="G100" s="33">
        <v>0.5</v>
      </c>
      <c r="H100" s="14">
        <f t="shared" si="27"/>
        <v>41.948956878735963</v>
      </c>
      <c r="I100" s="65">
        <f t="shared" si="28"/>
        <v>8.32</v>
      </c>
      <c r="J100" s="14">
        <f t="shared" si="24"/>
        <v>43.716823745909281</v>
      </c>
      <c r="K100" s="2"/>
      <c r="L100" s="13">
        <v>1600</v>
      </c>
      <c r="M100" s="33">
        <f>'2º Alta Frec'!N98</f>
        <v>54.150689458495329</v>
      </c>
      <c r="N100" s="33">
        <f>'1º Alta Frec'!V228</f>
        <v>96.731319613448719</v>
      </c>
      <c r="O100" s="33">
        <f t="shared" si="29"/>
        <v>42.58063015495339</v>
      </c>
      <c r="P100" s="18">
        <f>Datos!D180</f>
        <v>0.45</v>
      </c>
      <c r="Q100" s="33">
        <v>0.5</v>
      </c>
      <c r="R100" s="14">
        <f t="shared" si="31"/>
        <v>42.123055249346642</v>
      </c>
      <c r="S100" s="65">
        <f t="shared" si="30"/>
        <v>8.32</v>
      </c>
      <c r="T100" s="14">
        <f t="shared" si="25"/>
        <v>43.89092211651996</v>
      </c>
    </row>
    <row r="101" spans="2:20" x14ac:dyDescent="0.2">
      <c r="B101" s="13">
        <v>2000</v>
      </c>
      <c r="C101" s="33">
        <f>'2º Alta Frec'!G99</f>
        <v>52.629164657318874</v>
      </c>
      <c r="D101" s="33">
        <f>'1º Alta Frec'!M229</f>
        <v>97.193260111338148</v>
      </c>
      <c r="E101" s="33">
        <f t="shared" si="26"/>
        <v>44.564095454019274</v>
      </c>
      <c r="F101" s="18">
        <f>Datos!D181</f>
        <v>0.43</v>
      </c>
      <c r="G101" s="33">
        <v>0.5</v>
      </c>
      <c r="H101" s="14">
        <f t="shared" si="27"/>
        <v>43.909079966454954</v>
      </c>
      <c r="I101" s="65">
        <f t="shared" si="28"/>
        <v>8.7069767441860471</v>
      </c>
      <c r="J101" s="14">
        <f t="shared" si="24"/>
        <v>45.676946833628278</v>
      </c>
      <c r="K101" s="2"/>
      <c r="L101" s="13">
        <v>2000</v>
      </c>
      <c r="M101" s="33">
        <f>'2º Alta Frec'!N99</f>
        <v>51.834074390703798</v>
      </c>
      <c r="N101" s="33">
        <f>'1º Alta Frec'!V229</f>
        <v>96.770291042863391</v>
      </c>
      <c r="O101" s="33">
        <f t="shared" si="29"/>
        <v>44.936216652159594</v>
      </c>
      <c r="P101" s="18">
        <f>Datos!D181</f>
        <v>0.43</v>
      </c>
      <c r="Q101" s="33">
        <v>0.5</v>
      </c>
      <c r="R101" s="14">
        <f t="shared" si="31"/>
        <v>44.281201164595274</v>
      </c>
      <c r="S101" s="65">
        <f t="shared" si="30"/>
        <v>8.7069767441860471</v>
      </c>
      <c r="T101" s="14">
        <f t="shared" si="25"/>
        <v>46.049068031768599</v>
      </c>
    </row>
    <row r="102" spans="2:20" x14ac:dyDescent="0.2">
      <c r="B102" s="13">
        <v>2500</v>
      </c>
      <c r="C102" s="33">
        <f>'2º Alta Frec'!G100</f>
        <v>55.809615563508515</v>
      </c>
      <c r="D102" s="33">
        <f>'1º Alta Frec'!M230</f>
        <v>98.957218568045974</v>
      </c>
      <c r="E102" s="33">
        <f t="shared" si="26"/>
        <v>43.147603004537459</v>
      </c>
      <c r="F102" s="18">
        <f>Datos!D182</f>
        <v>0.43</v>
      </c>
      <c r="G102" s="33">
        <v>0.5</v>
      </c>
      <c r="H102" s="14">
        <f t="shared" si="27"/>
        <v>42.492587516973138</v>
      </c>
      <c r="I102" s="65">
        <f t="shared" si="28"/>
        <v>8.7069767441860471</v>
      </c>
      <c r="J102" s="14">
        <f t="shared" si="24"/>
        <v>44.260454384146463</v>
      </c>
      <c r="K102" s="2"/>
      <c r="L102" s="13">
        <v>2500</v>
      </c>
      <c r="M102" s="33">
        <f>'2º Alta Frec'!N100</f>
        <v>52.895367257959094</v>
      </c>
      <c r="N102" s="33">
        <f>'1º Alta Frec'!V230</f>
        <v>98.401093499849011</v>
      </c>
      <c r="O102" s="33">
        <f t="shared" si="29"/>
        <v>45.505726241889917</v>
      </c>
      <c r="P102" s="18">
        <f>Datos!D182</f>
        <v>0.43</v>
      </c>
      <c r="Q102" s="33">
        <v>0.5</v>
      </c>
      <c r="R102" s="14">
        <f t="shared" si="31"/>
        <v>44.850710754325597</v>
      </c>
      <c r="S102" s="65">
        <f t="shared" si="30"/>
        <v>8.7069767441860471</v>
      </c>
      <c r="T102" s="14">
        <f t="shared" si="25"/>
        <v>46.618577621498922</v>
      </c>
    </row>
    <row r="103" spans="2:20" x14ac:dyDescent="0.2">
      <c r="B103" s="13">
        <v>3150</v>
      </c>
      <c r="C103" s="33">
        <f>'2º Alta Frec'!G101</f>
        <v>56.432449459187588</v>
      </c>
      <c r="D103" s="33">
        <f>'1º Alta Frec'!M231</f>
        <v>96.325251787073427</v>
      </c>
      <c r="E103" s="33">
        <f t="shared" si="26"/>
        <v>39.892802327885839</v>
      </c>
      <c r="F103" s="18">
        <f>Datos!D183</f>
        <v>0.41</v>
      </c>
      <c r="G103" s="33">
        <v>0.5</v>
      </c>
      <c r="H103" s="14">
        <f t="shared" si="27"/>
        <v>39.030940851723003</v>
      </c>
      <c r="I103" s="65">
        <f t="shared" si="28"/>
        <v>9.1317073170731717</v>
      </c>
      <c r="J103" s="14">
        <f t="shared" si="24"/>
        <v>40.798807718896327</v>
      </c>
      <c r="K103" s="2"/>
      <c r="L103" s="13">
        <v>3150</v>
      </c>
      <c r="M103" s="33">
        <f>'2º Alta Frec'!N101</f>
        <v>52.423642172713521</v>
      </c>
      <c r="N103" s="33">
        <f>'1º Alta Frec'!V231</f>
        <v>96.186133194757687</v>
      </c>
      <c r="O103" s="33">
        <f t="shared" si="29"/>
        <v>43.762491022044166</v>
      </c>
      <c r="P103" s="18">
        <f>Datos!D183</f>
        <v>0.41</v>
      </c>
      <c r="Q103" s="33">
        <v>0.5</v>
      </c>
      <c r="R103" s="14">
        <f t="shared" si="31"/>
        <v>42.90062954588133</v>
      </c>
      <c r="S103" s="65">
        <f t="shared" si="30"/>
        <v>9.1317073170731717</v>
      </c>
      <c r="T103" s="14">
        <f t="shared" si="25"/>
        <v>44.668496413054655</v>
      </c>
    </row>
    <row r="104" spans="2:20" x14ac:dyDescent="0.2">
      <c r="B104" s="13">
        <v>4000</v>
      </c>
      <c r="C104" s="33">
        <f>'2º Alta Frec'!G102</f>
        <v>49.49366425659629</v>
      </c>
      <c r="D104" s="33">
        <f>'1º Alta Frec'!M232</f>
        <v>93.459765402377229</v>
      </c>
      <c r="E104" s="33">
        <f t="shared" si="26"/>
        <v>43.966101145780939</v>
      </c>
      <c r="F104" s="18">
        <f>Datos!D184</f>
        <v>0.4</v>
      </c>
      <c r="G104" s="33">
        <v>0.5</v>
      </c>
      <c r="H104" s="14">
        <f t="shared" si="27"/>
        <v>42.997001015700377</v>
      </c>
      <c r="I104" s="65">
        <f t="shared" si="28"/>
        <v>9.36</v>
      </c>
      <c r="J104" s="14">
        <f t="shared" si="24"/>
        <v>44.764867882873702</v>
      </c>
      <c r="K104" s="2"/>
      <c r="L104" s="13">
        <v>4000</v>
      </c>
      <c r="M104" s="33">
        <f>'2º Alta Frec'!N102</f>
        <v>47.041489297610823</v>
      </c>
      <c r="N104" s="33">
        <f>'1º Alta Frec'!V232</f>
        <v>92.352635181950475</v>
      </c>
      <c r="O104" s="33">
        <f t="shared" si="29"/>
        <v>45.311145884339652</v>
      </c>
      <c r="P104" s="18">
        <f>Datos!D184</f>
        <v>0.4</v>
      </c>
      <c r="Q104" s="33">
        <v>0.5</v>
      </c>
      <c r="R104" s="14">
        <f t="shared" si="31"/>
        <v>44.34204575425909</v>
      </c>
      <c r="S104" s="65">
        <f t="shared" si="30"/>
        <v>9.36</v>
      </c>
      <c r="T104" s="14">
        <f t="shared" si="25"/>
        <v>46.109912621432414</v>
      </c>
    </row>
    <row r="105" spans="2:20" x14ac:dyDescent="0.2">
      <c r="B105" s="15">
        <v>5000</v>
      </c>
      <c r="C105" s="23">
        <f>'2º Alta Frec'!G103</f>
        <v>44.651419312717032</v>
      </c>
      <c r="D105" s="23">
        <f>'1º Alta Frec'!M233</f>
        <v>91.645404552843758</v>
      </c>
      <c r="E105" s="23">
        <f t="shared" si="26"/>
        <v>46.993985240126726</v>
      </c>
      <c r="F105" s="16">
        <f>Datos!D185</f>
        <v>0.39</v>
      </c>
      <c r="G105" s="23">
        <v>0.5</v>
      </c>
      <c r="H105" s="17">
        <f t="shared" si="27"/>
        <v>45.914931267031527</v>
      </c>
      <c r="I105" s="67">
        <f t="shared" si="28"/>
        <v>9.6</v>
      </c>
      <c r="J105" s="17">
        <f t="shared" si="24"/>
        <v>47.682798134204852</v>
      </c>
      <c r="K105" s="2"/>
      <c r="L105" s="15">
        <v>5000</v>
      </c>
      <c r="M105" s="23">
        <f>'2º Alta Frec'!N103</f>
        <v>42.740452238964828</v>
      </c>
      <c r="N105" s="23">
        <f>'1º Alta Frec'!V233</f>
        <v>90.950844170620456</v>
      </c>
      <c r="O105" s="23">
        <f t="shared" si="29"/>
        <v>48.210391931655629</v>
      </c>
      <c r="P105" s="16">
        <f>Datos!D185</f>
        <v>0.39</v>
      </c>
      <c r="Q105" s="23">
        <v>0.5</v>
      </c>
      <c r="R105" s="17">
        <f t="shared" si="31"/>
        <v>47.13133795856043</v>
      </c>
      <c r="S105" s="67">
        <f t="shared" si="30"/>
        <v>9.6</v>
      </c>
      <c r="T105" s="17">
        <f t="shared" si="25"/>
        <v>48.899204825733754</v>
      </c>
    </row>
    <row r="109" spans="2:20" x14ac:dyDescent="0.2">
      <c r="B109" s="175" t="s">
        <v>46</v>
      </c>
      <c r="C109" s="176"/>
      <c r="D109" s="176"/>
      <c r="E109" s="176"/>
      <c r="F109" s="176"/>
      <c r="G109" s="176"/>
      <c r="H109" s="176"/>
      <c r="I109" s="176"/>
      <c r="J109" s="177"/>
      <c r="K109" s="2"/>
      <c r="L109" s="175" t="s">
        <v>46</v>
      </c>
      <c r="M109" s="176"/>
      <c r="N109" s="176"/>
      <c r="O109" s="176"/>
      <c r="P109" s="176"/>
      <c r="Q109" s="176"/>
      <c r="R109" s="176"/>
      <c r="S109" s="176"/>
      <c r="T109" s="177"/>
    </row>
    <row r="110" spans="2:20" ht="23" customHeight="1" x14ac:dyDescent="0.2">
      <c r="B110" s="168" t="s">
        <v>25</v>
      </c>
      <c r="C110" s="169"/>
      <c r="D110" s="169"/>
      <c r="E110" s="169"/>
      <c r="F110" s="169"/>
      <c r="G110" s="169"/>
      <c r="H110" s="170"/>
      <c r="I110" s="63"/>
      <c r="J110" s="64">
        <f>2.08*4.5</f>
        <v>9.36</v>
      </c>
      <c r="K110" s="2"/>
      <c r="L110" s="162" t="s">
        <v>28</v>
      </c>
      <c r="M110" s="163"/>
      <c r="N110" s="163"/>
      <c r="O110" s="163"/>
      <c r="P110" s="163"/>
      <c r="Q110" s="163"/>
      <c r="R110" s="164"/>
      <c r="S110" s="71"/>
      <c r="T110" s="72">
        <f>2.08*4.5</f>
        <v>9.36</v>
      </c>
    </row>
    <row r="111" spans="2:20" ht="33" customHeight="1" x14ac:dyDescent="0.2">
      <c r="B111" s="9"/>
      <c r="C111" s="11"/>
      <c r="D111" s="21"/>
      <c r="E111" s="21"/>
      <c r="F111" s="25"/>
      <c r="G111" s="21"/>
      <c r="H111" s="26"/>
      <c r="I111" s="21"/>
      <c r="J111" s="26"/>
      <c r="K111" s="27"/>
      <c r="L111" s="9"/>
      <c r="M111" s="11"/>
      <c r="N111" s="21"/>
      <c r="O111" s="21"/>
      <c r="P111" s="25"/>
      <c r="Q111" s="21"/>
      <c r="R111" s="26"/>
      <c r="S111" s="21"/>
      <c r="T111" s="26"/>
    </row>
    <row r="112" spans="2:20" x14ac:dyDescent="0.2">
      <c r="B112" s="13">
        <v>50</v>
      </c>
      <c r="C112" s="33">
        <f>'2º Alta Frec'!G110</f>
        <v>50.927637327275932</v>
      </c>
      <c r="D112" s="33">
        <f>'1º Alta Frec'!M239</f>
        <v>85.507694196324138</v>
      </c>
      <c r="E112" s="33">
        <f>D112-C112</f>
        <v>34.580056869048207</v>
      </c>
      <c r="F112" s="18">
        <f>Datos!D165</f>
        <v>1.29</v>
      </c>
      <c r="G112" s="33">
        <v>0.5</v>
      </c>
      <c r="H112" s="14">
        <f>E112+(10*LOG10(F112/G112))</f>
        <v>38.696253928680505</v>
      </c>
      <c r="I112" s="65">
        <f>(0.16*4.5*2.08*2.5)/F112</f>
        <v>2.902325581395349</v>
      </c>
      <c r="J112" s="14">
        <f t="shared" ref="J112:J132" si="32">E112+10*LOG10($J$110/I112)</f>
        <v>39.665354058761068</v>
      </c>
      <c r="K112" s="2"/>
      <c r="L112" s="13">
        <v>50</v>
      </c>
      <c r="M112" s="33">
        <f>'2º Alta Frec'!N110</f>
        <v>50.075400015583256</v>
      </c>
      <c r="N112" s="33">
        <f>'1º Alta Frec'!V239</f>
        <v>85.67453808320559</v>
      </c>
      <c r="O112" s="33">
        <f>N112-M112</f>
        <v>35.599138067622334</v>
      </c>
      <c r="P112" s="18">
        <f>Datos!D165</f>
        <v>1.29</v>
      </c>
      <c r="Q112" s="33">
        <v>0.5</v>
      </c>
      <c r="R112" s="14">
        <f>O112+(10*LOG10(P112/Q112))</f>
        <v>39.715335127254633</v>
      </c>
      <c r="S112" s="65">
        <f>(0.16*4.5*2.08*2.5)/P112</f>
        <v>2.902325581395349</v>
      </c>
      <c r="T112" s="14">
        <f t="shared" ref="T112:T132" si="33">O112+10*LOG10($T$110/S112)</f>
        <v>40.684435257335196</v>
      </c>
    </row>
    <row r="113" spans="2:20" x14ac:dyDescent="0.2">
      <c r="B113" s="13">
        <v>63</v>
      </c>
      <c r="C113" s="33">
        <f>'2º Alta Frec'!G111</f>
        <v>36.604431358309782</v>
      </c>
      <c r="D113" s="33">
        <f>'1º Alta Frec'!M240</f>
        <v>89.368425889162992</v>
      </c>
      <c r="E113" s="33">
        <f t="shared" ref="E113:E132" si="34">D113-C113</f>
        <v>52.763994530853211</v>
      </c>
      <c r="F113" s="18">
        <f>Datos!D166</f>
        <v>0.53</v>
      </c>
      <c r="G113" s="33">
        <v>0.5</v>
      </c>
      <c r="H113" s="14">
        <f t="shared" ref="H113:H132" si="35">E113+(10*LOG10(F113/G113))</f>
        <v>53.017053183500913</v>
      </c>
      <c r="I113" s="65">
        <f t="shared" ref="I113:I132" si="36">(0.16*4.5*2.08*2.5)/F113</f>
        <v>7.0641509433962266</v>
      </c>
      <c r="J113" s="14">
        <f t="shared" si="32"/>
        <v>53.986153313581475</v>
      </c>
      <c r="K113" s="2"/>
      <c r="L113" s="13">
        <v>63</v>
      </c>
      <c r="M113" s="33">
        <f>'2º Alta Frec'!N111</f>
        <v>44.068193971471878</v>
      </c>
      <c r="N113" s="33">
        <f>'1º Alta Frec'!V240</f>
        <v>88.150243628796886</v>
      </c>
      <c r="O113" s="33">
        <f t="shared" ref="O113:O132" si="37">N113-M113</f>
        <v>44.082049657325008</v>
      </c>
      <c r="P113" s="18">
        <f>Datos!D166</f>
        <v>0.53</v>
      </c>
      <c r="Q113" s="33">
        <v>0.5</v>
      </c>
      <c r="R113" s="14">
        <f t="shared" ref="R113:R132" si="38">O113+(10*LOG10(P113/Q113))</f>
        <v>44.335108309972711</v>
      </c>
      <c r="S113" s="65">
        <f t="shared" ref="S113:S132" si="39">(0.16*4.5*2.08*2.5)/P113</f>
        <v>7.0641509433962266</v>
      </c>
      <c r="T113" s="14">
        <f t="shared" si="33"/>
        <v>45.304208440053273</v>
      </c>
    </row>
    <row r="114" spans="2:20" x14ac:dyDescent="0.2">
      <c r="B114" s="13">
        <v>80</v>
      </c>
      <c r="C114" s="33">
        <f>'2º Alta Frec'!G112</f>
        <v>48.317311495961107</v>
      </c>
      <c r="D114" s="33">
        <f>'1º Alta Frec'!M241</f>
        <v>92.897517428382926</v>
      </c>
      <c r="E114" s="33">
        <f t="shared" si="34"/>
        <v>44.580205932421819</v>
      </c>
      <c r="F114" s="18">
        <f>Datos!D167</f>
        <v>0.52</v>
      </c>
      <c r="G114" s="33">
        <v>0.5</v>
      </c>
      <c r="H114" s="14">
        <f t="shared" si="35"/>
        <v>44.750539325409626</v>
      </c>
      <c r="I114" s="65">
        <f t="shared" si="36"/>
        <v>7.2</v>
      </c>
      <c r="J114" s="14">
        <f t="shared" si="32"/>
        <v>45.719639455490189</v>
      </c>
      <c r="K114" s="2"/>
      <c r="L114" s="13">
        <v>80</v>
      </c>
      <c r="M114" s="33">
        <f>'2º Alta Frec'!N112</f>
        <v>48.4738026129424</v>
      </c>
      <c r="N114" s="33">
        <f>'1º Alta Frec'!V241</f>
        <v>90.421889611722179</v>
      </c>
      <c r="O114" s="33">
        <f t="shared" si="37"/>
        <v>41.948086998779779</v>
      </c>
      <c r="P114" s="18">
        <f>Datos!D167</f>
        <v>0.52</v>
      </c>
      <c r="Q114" s="33">
        <v>0.5</v>
      </c>
      <c r="R114" s="14">
        <f t="shared" si="38"/>
        <v>42.118420391767586</v>
      </c>
      <c r="S114" s="65">
        <f t="shared" si="39"/>
        <v>7.2</v>
      </c>
      <c r="T114" s="14">
        <f t="shared" si="33"/>
        <v>43.087520521848148</v>
      </c>
    </row>
    <row r="115" spans="2:20" x14ac:dyDescent="0.2">
      <c r="B115" s="13">
        <v>100</v>
      </c>
      <c r="C115" s="33">
        <f>'2º Alta Frec'!G113</f>
        <v>43.139258373893568</v>
      </c>
      <c r="D115" s="33">
        <f>'1º Alta Frec'!M242</f>
        <v>88.21565365167487</v>
      </c>
      <c r="E115" s="33">
        <f t="shared" si="34"/>
        <v>45.076395277781302</v>
      </c>
      <c r="F115" s="18">
        <f>Datos!D168</f>
        <v>0.93</v>
      </c>
      <c r="G115" s="33">
        <v>0.5</v>
      </c>
      <c r="H115" s="14">
        <f t="shared" si="35"/>
        <v>47.771524719960468</v>
      </c>
      <c r="I115" s="65">
        <f t="shared" si="36"/>
        <v>4.0258064516129028</v>
      </c>
      <c r="J115" s="14">
        <f t="shared" si="32"/>
        <v>48.74062485004103</v>
      </c>
      <c r="K115" s="2"/>
      <c r="L115" s="13">
        <v>100</v>
      </c>
      <c r="M115" s="33">
        <f>'2º Alta Frec'!N113</f>
        <v>50.927156597899454</v>
      </c>
      <c r="N115" s="33">
        <f>'1º Alta Frec'!V242</f>
        <v>83.198144951798255</v>
      </c>
      <c r="O115" s="33">
        <f t="shared" si="37"/>
        <v>32.270988353898801</v>
      </c>
      <c r="P115" s="18">
        <f>Datos!D168</f>
        <v>0.93</v>
      </c>
      <c r="Q115" s="33">
        <v>0.5</v>
      </c>
      <c r="R115" s="14">
        <f t="shared" si="38"/>
        <v>34.966117796077967</v>
      </c>
      <c r="S115" s="65">
        <f t="shared" si="39"/>
        <v>4.0258064516129028</v>
      </c>
      <c r="T115" s="14">
        <f t="shared" si="33"/>
        <v>35.935217926158529</v>
      </c>
    </row>
    <row r="116" spans="2:20" x14ac:dyDescent="0.2">
      <c r="B116" s="13">
        <v>125</v>
      </c>
      <c r="C116" s="33">
        <f>'2º Alta Frec'!G114</f>
        <v>45.798155537483645</v>
      </c>
      <c r="D116" s="33">
        <f>'1º Alta Frec'!M243</f>
        <v>89.884073502638429</v>
      </c>
      <c r="E116" s="33">
        <f t="shared" si="34"/>
        <v>44.085917965154785</v>
      </c>
      <c r="F116" s="18">
        <f>Datos!D169</f>
        <v>0.6</v>
      </c>
      <c r="G116" s="33">
        <v>0.5</v>
      </c>
      <c r="H116" s="14">
        <f t="shared" si="35"/>
        <v>44.877730425631036</v>
      </c>
      <c r="I116" s="65">
        <f t="shared" si="36"/>
        <v>6.24</v>
      </c>
      <c r="J116" s="14">
        <f t="shared" si="32"/>
        <v>45.846830555711598</v>
      </c>
      <c r="K116" s="2"/>
      <c r="L116" s="13">
        <v>125</v>
      </c>
      <c r="M116" s="33">
        <f>'2º Alta Frec'!N114</f>
        <v>47.107254508457075</v>
      </c>
      <c r="N116" s="33">
        <f>'1º Alta Frec'!V243</f>
        <v>85.41417392494678</v>
      </c>
      <c r="O116" s="33">
        <f t="shared" si="37"/>
        <v>38.306919416489706</v>
      </c>
      <c r="P116" s="18">
        <f>Datos!D169</f>
        <v>0.6</v>
      </c>
      <c r="Q116" s="33">
        <v>0.5</v>
      </c>
      <c r="R116" s="14">
        <f t="shared" si="38"/>
        <v>39.098731876965957</v>
      </c>
      <c r="S116" s="65">
        <f t="shared" si="39"/>
        <v>6.24</v>
      </c>
      <c r="T116" s="14">
        <f t="shared" si="33"/>
        <v>40.067832007046519</v>
      </c>
    </row>
    <row r="117" spans="2:20" x14ac:dyDescent="0.2">
      <c r="B117" s="13">
        <v>160</v>
      </c>
      <c r="C117" s="33">
        <f>'2º Alta Frec'!G115</f>
        <v>49.674902743879095</v>
      </c>
      <c r="D117" s="33">
        <f>'1º Alta Frec'!M244</f>
        <v>97.891783833953241</v>
      </c>
      <c r="E117" s="33">
        <f t="shared" si="34"/>
        <v>48.216881090074146</v>
      </c>
      <c r="F117" s="18">
        <f>Datos!D170</f>
        <v>0.56000000000000005</v>
      </c>
      <c r="G117" s="33">
        <v>0.5</v>
      </c>
      <c r="H117" s="14">
        <f t="shared" si="35"/>
        <v>48.709061316775966</v>
      </c>
      <c r="I117" s="65">
        <f t="shared" si="36"/>
        <v>6.6857142857142851</v>
      </c>
      <c r="J117" s="14">
        <f t="shared" si="32"/>
        <v>49.678161446856528</v>
      </c>
      <c r="K117" s="2"/>
      <c r="L117" s="13">
        <v>160</v>
      </c>
      <c r="M117" s="33">
        <f>'2º Alta Frec'!N115</f>
        <v>49.623774448358247</v>
      </c>
      <c r="N117" s="33">
        <f>'1º Alta Frec'!V244</f>
        <v>97.702944299164898</v>
      </c>
      <c r="O117" s="33">
        <f t="shared" si="37"/>
        <v>48.07916985080665</v>
      </c>
      <c r="P117" s="18">
        <f>Datos!D170</f>
        <v>0.56000000000000005</v>
      </c>
      <c r="Q117" s="33">
        <v>0.5</v>
      </c>
      <c r="R117" s="14">
        <f t="shared" si="38"/>
        <v>48.57135007750847</v>
      </c>
      <c r="S117" s="65">
        <f t="shared" si="39"/>
        <v>6.6857142857142851</v>
      </c>
      <c r="T117" s="14">
        <f t="shared" si="33"/>
        <v>49.540450207589032</v>
      </c>
    </row>
    <row r="118" spans="2:20" x14ac:dyDescent="0.2">
      <c r="B118" s="13">
        <v>200</v>
      </c>
      <c r="C118" s="33">
        <f>'2º Alta Frec'!G116</f>
        <v>48.395428244009338</v>
      </c>
      <c r="D118" s="33">
        <f>'1º Alta Frec'!M245</f>
        <v>103.70604431717724</v>
      </c>
      <c r="E118" s="33">
        <f t="shared" si="34"/>
        <v>55.310616073167907</v>
      </c>
      <c r="F118" s="18">
        <f>Datos!D171</f>
        <v>0.44</v>
      </c>
      <c r="G118" s="33">
        <v>0.5</v>
      </c>
      <c r="H118" s="14">
        <f t="shared" si="35"/>
        <v>54.755442794669591</v>
      </c>
      <c r="I118" s="65">
        <f t="shared" si="36"/>
        <v>8.5090909090909097</v>
      </c>
      <c r="J118" s="14">
        <f t="shared" si="32"/>
        <v>55.724542924750153</v>
      </c>
      <c r="K118" s="2"/>
      <c r="L118" s="13">
        <v>200</v>
      </c>
      <c r="M118" s="33">
        <f>'2º Alta Frec'!N116</f>
        <v>50.269041915769101</v>
      </c>
      <c r="N118" s="33">
        <f>'1º Alta Frec'!V245</f>
        <v>100.96368018934197</v>
      </c>
      <c r="O118" s="33">
        <f t="shared" si="37"/>
        <v>50.69463827357287</v>
      </c>
      <c r="P118" s="18">
        <f>Datos!D171</f>
        <v>0.44</v>
      </c>
      <c r="Q118" s="33">
        <v>0.5</v>
      </c>
      <c r="R118" s="14">
        <f t="shared" si="38"/>
        <v>50.139464995074555</v>
      </c>
      <c r="S118" s="65">
        <f t="shared" si="39"/>
        <v>8.5090909090909097</v>
      </c>
      <c r="T118" s="14">
        <f t="shared" si="33"/>
        <v>51.108565125155117</v>
      </c>
    </row>
    <row r="119" spans="2:20" x14ac:dyDescent="0.2">
      <c r="B119" s="13">
        <v>250</v>
      </c>
      <c r="C119" s="33">
        <f>'2º Alta Frec'!G117</f>
        <v>47.953657390698716</v>
      </c>
      <c r="D119" s="33">
        <f>'1º Alta Frec'!M246</f>
        <v>104.48613926789392</v>
      </c>
      <c r="E119" s="33">
        <f t="shared" si="34"/>
        <v>56.532481877195202</v>
      </c>
      <c r="F119" s="18">
        <f>Datos!D172</f>
        <v>0.52</v>
      </c>
      <c r="G119" s="33">
        <v>0.5</v>
      </c>
      <c r="H119" s="14">
        <f>E119+(10*LOG10(F119/G119))</f>
        <v>56.702815270183009</v>
      </c>
      <c r="I119" s="65">
        <f t="shared" si="36"/>
        <v>7.2</v>
      </c>
      <c r="J119" s="14">
        <f t="shared" si="32"/>
        <v>57.671915400263572</v>
      </c>
      <c r="K119" s="2"/>
      <c r="L119" s="13">
        <v>250</v>
      </c>
      <c r="M119" s="33">
        <f>'2º Alta Frec'!N117</f>
        <v>49.195848272816463</v>
      </c>
      <c r="N119" s="33">
        <f>'1º Alta Frec'!V246</f>
        <v>103.86477548427101</v>
      </c>
      <c r="O119" s="33">
        <f t="shared" si="37"/>
        <v>54.668927211454545</v>
      </c>
      <c r="P119" s="18">
        <f>Datos!D172</f>
        <v>0.52</v>
      </c>
      <c r="Q119" s="33">
        <v>0.5</v>
      </c>
      <c r="R119" s="14">
        <f t="shared" si="38"/>
        <v>54.839260604442352</v>
      </c>
      <c r="S119" s="65">
        <f t="shared" si="39"/>
        <v>7.2</v>
      </c>
      <c r="T119" s="14">
        <f t="shared" si="33"/>
        <v>55.808360734522914</v>
      </c>
    </row>
    <row r="120" spans="2:20" x14ac:dyDescent="0.2">
      <c r="B120" s="13">
        <v>315</v>
      </c>
      <c r="C120" s="33">
        <f>'2º Alta Frec'!G118</f>
        <v>47.688840939966099</v>
      </c>
      <c r="D120" s="33">
        <f>'1º Alta Frec'!M247</f>
        <v>103.31943102926914</v>
      </c>
      <c r="E120" s="33">
        <f t="shared" si="34"/>
        <v>55.630590089303041</v>
      </c>
      <c r="F120" s="18">
        <f>Datos!D173</f>
        <v>0.55000000000000004</v>
      </c>
      <c r="G120" s="33">
        <v>0.5</v>
      </c>
      <c r="H120" s="14">
        <f t="shared" si="35"/>
        <v>56.044516940885295</v>
      </c>
      <c r="I120" s="65">
        <f t="shared" si="36"/>
        <v>6.8072727272727267</v>
      </c>
      <c r="J120" s="14">
        <f t="shared" si="32"/>
        <v>57.013617070965857</v>
      </c>
      <c r="K120" s="2"/>
      <c r="L120" s="13">
        <v>315</v>
      </c>
      <c r="M120" s="33">
        <f>'2º Alta Frec'!N118</f>
        <v>49.15951655313706</v>
      </c>
      <c r="N120" s="33">
        <f>'1º Alta Frec'!V247</f>
        <v>101.65837204149311</v>
      </c>
      <c r="O120" s="33">
        <f t="shared" si="37"/>
        <v>52.49885548835605</v>
      </c>
      <c r="P120" s="18">
        <f>Datos!D173</f>
        <v>0.55000000000000004</v>
      </c>
      <c r="Q120" s="33">
        <v>0.5</v>
      </c>
      <c r="R120" s="14">
        <f t="shared" si="38"/>
        <v>52.912782339938303</v>
      </c>
      <c r="S120" s="65">
        <f t="shared" si="39"/>
        <v>6.8072727272727267</v>
      </c>
      <c r="T120" s="14">
        <f t="shared" si="33"/>
        <v>53.881882470018866</v>
      </c>
    </row>
    <row r="121" spans="2:20" x14ac:dyDescent="0.2">
      <c r="B121" s="13">
        <v>400</v>
      </c>
      <c r="C121" s="33">
        <f>'2º Alta Frec'!G119</f>
        <v>47.966171829538595</v>
      </c>
      <c r="D121" s="33">
        <f>'1º Alta Frec'!M248</f>
        <v>106.38870841350302</v>
      </c>
      <c r="E121" s="33">
        <f t="shared" si="34"/>
        <v>58.42253658396443</v>
      </c>
      <c r="F121" s="18">
        <f>Datos!D174</f>
        <v>0.43</v>
      </c>
      <c r="G121" s="33">
        <v>0.5</v>
      </c>
      <c r="H121" s="14">
        <f t="shared" si="35"/>
        <v>57.76752109640011</v>
      </c>
      <c r="I121" s="65">
        <f t="shared" si="36"/>
        <v>8.7069767441860471</v>
      </c>
      <c r="J121" s="14">
        <f t="shared" si="32"/>
        <v>58.736621226480672</v>
      </c>
      <c r="K121" s="2"/>
      <c r="L121" s="13">
        <v>400</v>
      </c>
      <c r="M121" s="33">
        <f>'2º Alta Frec'!N119</f>
        <v>45.476687809567693</v>
      </c>
      <c r="N121" s="33">
        <f>'1º Alta Frec'!V248</f>
        <v>102.31292034531306</v>
      </c>
      <c r="O121" s="33">
        <f t="shared" si="37"/>
        <v>56.836232535745367</v>
      </c>
      <c r="P121" s="18">
        <f>Datos!D174</f>
        <v>0.43</v>
      </c>
      <c r="Q121" s="33">
        <v>0.5</v>
      </c>
      <c r="R121" s="14">
        <f t="shared" si="38"/>
        <v>56.181217048181047</v>
      </c>
      <c r="S121" s="65">
        <f t="shared" si="39"/>
        <v>8.7069767441860471</v>
      </c>
      <c r="T121" s="14">
        <f t="shared" si="33"/>
        <v>57.150317178261609</v>
      </c>
    </row>
    <row r="122" spans="2:20" x14ac:dyDescent="0.2">
      <c r="B122" s="13">
        <v>500</v>
      </c>
      <c r="C122" s="33">
        <f>'2º Alta Frec'!G120</f>
        <v>44.361775964907473</v>
      </c>
      <c r="D122" s="33">
        <f>'1º Alta Frec'!M249</f>
        <v>104.20265313262617</v>
      </c>
      <c r="E122" s="33">
        <f t="shared" si="34"/>
        <v>59.840877167718695</v>
      </c>
      <c r="F122" s="18">
        <f>Datos!D175</f>
        <v>0.38</v>
      </c>
      <c r="G122" s="33">
        <v>0.5</v>
      </c>
      <c r="H122" s="14">
        <f t="shared" si="35"/>
        <v>58.649013090526608</v>
      </c>
      <c r="I122" s="65">
        <f t="shared" si="36"/>
        <v>9.8526315789473689</v>
      </c>
      <c r="J122" s="14">
        <f t="shared" si="32"/>
        <v>59.618113220607171</v>
      </c>
      <c r="K122" s="2"/>
      <c r="L122" s="13">
        <v>500</v>
      </c>
      <c r="M122" s="33">
        <f>'2º Alta Frec'!N120</f>
        <v>41.870632828211839</v>
      </c>
      <c r="N122" s="33">
        <f>'1º Alta Frec'!V249</f>
        <v>100.8536770198219</v>
      </c>
      <c r="O122" s="33">
        <f t="shared" si="37"/>
        <v>58.983044191610063</v>
      </c>
      <c r="P122" s="18">
        <f>Datos!D175</f>
        <v>0.38</v>
      </c>
      <c r="Q122" s="33">
        <v>0.5</v>
      </c>
      <c r="R122" s="14">
        <f t="shared" si="38"/>
        <v>57.791180114417976</v>
      </c>
      <c r="S122" s="65">
        <f t="shared" si="39"/>
        <v>9.8526315789473689</v>
      </c>
      <c r="T122" s="14">
        <f t="shared" si="33"/>
        <v>58.760280244498539</v>
      </c>
    </row>
    <row r="123" spans="2:20" x14ac:dyDescent="0.2">
      <c r="B123" s="13">
        <v>630</v>
      </c>
      <c r="C123" s="33">
        <f>'2º Alta Frec'!G121</f>
        <v>39.775199907635994</v>
      </c>
      <c r="D123" s="33">
        <f>'1º Alta Frec'!M250</f>
        <v>103.45775396175844</v>
      </c>
      <c r="E123" s="33">
        <f t="shared" si="34"/>
        <v>63.682554054122448</v>
      </c>
      <c r="F123" s="18">
        <f>Datos!D176</f>
        <v>0.41</v>
      </c>
      <c r="G123" s="33">
        <v>0.5</v>
      </c>
      <c r="H123" s="14">
        <f t="shared" si="35"/>
        <v>62.820692577959612</v>
      </c>
      <c r="I123" s="65">
        <f t="shared" si="36"/>
        <v>9.1317073170731717</v>
      </c>
      <c r="J123" s="14">
        <f t="shared" si="32"/>
        <v>63.789792708040181</v>
      </c>
      <c r="K123" s="2"/>
      <c r="L123" s="13">
        <v>630</v>
      </c>
      <c r="M123" s="33">
        <f>'2º Alta Frec'!N121</f>
        <v>39.746747481175383</v>
      </c>
      <c r="N123" s="33">
        <f>'1º Alta Frec'!V250</f>
        <v>101.68628827010707</v>
      </c>
      <c r="O123" s="33">
        <f t="shared" si="37"/>
        <v>61.939540788931687</v>
      </c>
      <c r="P123" s="18">
        <f>Datos!D176</f>
        <v>0.41</v>
      </c>
      <c r="Q123" s="33">
        <v>0.5</v>
      </c>
      <c r="R123" s="14">
        <f t="shared" si="38"/>
        <v>61.077679312768851</v>
      </c>
      <c r="S123" s="65">
        <f t="shared" si="39"/>
        <v>9.1317073170731717</v>
      </c>
      <c r="T123" s="14">
        <f t="shared" si="33"/>
        <v>62.04677944284942</v>
      </c>
    </row>
    <row r="124" spans="2:20" x14ac:dyDescent="0.2">
      <c r="B124" s="13">
        <v>800</v>
      </c>
      <c r="C124" s="33">
        <f>'2º Alta Frec'!G122</f>
        <v>35.209156225785826</v>
      </c>
      <c r="D124" s="33">
        <f>'1º Alta Frec'!M251</f>
        <v>102.51995931485972</v>
      </c>
      <c r="E124" s="33">
        <f t="shared" si="34"/>
        <v>67.310803089073886</v>
      </c>
      <c r="F124" s="18">
        <f>Datos!D177</f>
        <v>0.44</v>
      </c>
      <c r="G124" s="33">
        <v>0.5</v>
      </c>
      <c r="H124" s="14">
        <f t="shared" si="35"/>
        <v>66.75562981057557</v>
      </c>
      <c r="I124" s="65">
        <f t="shared" si="36"/>
        <v>8.5090909090909097</v>
      </c>
      <c r="J124" s="14">
        <f t="shared" si="32"/>
        <v>67.724729940656132</v>
      </c>
      <c r="K124" s="2"/>
      <c r="L124" s="13">
        <v>800</v>
      </c>
      <c r="M124" s="33">
        <f>'2º Alta Frec'!N122</f>
        <v>34.409319374351249</v>
      </c>
      <c r="N124" s="33">
        <f>'1º Alta Frec'!V251</f>
        <v>101.2398501278511</v>
      </c>
      <c r="O124" s="33">
        <f t="shared" si="37"/>
        <v>66.830530753499858</v>
      </c>
      <c r="P124" s="18">
        <f>Datos!D177</f>
        <v>0.44</v>
      </c>
      <c r="Q124" s="33">
        <v>0.5</v>
      </c>
      <c r="R124" s="14">
        <f t="shared" si="38"/>
        <v>66.275357475001542</v>
      </c>
      <c r="S124" s="65">
        <f t="shared" si="39"/>
        <v>8.5090909090909097</v>
      </c>
      <c r="T124" s="14">
        <f t="shared" si="33"/>
        <v>67.244457605082104</v>
      </c>
    </row>
    <row r="125" spans="2:20" x14ac:dyDescent="0.2">
      <c r="B125" s="13">
        <v>1000</v>
      </c>
      <c r="C125" s="33">
        <f>'2º Alta Frec'!G123</f>
        <v>33.469854877434898</v>
      </c>
      <c r="D125" s="33">
        <f>'1º Alta Frec'!M252</f>
        <v>99.93211912357873</v>
      </c>
      <c r="E125" s="33">
        <f t="shared" si="34"/>
        <v>66.462264246143832</v>
      </c>
      <c r="F125" s="18">
        <f>Datos!D178</f>
        <v>0.5</v>
      </c>
      <c r="G125" s="33">
        <v>0.5</v>
      </c>
      <c r="H125" s="14">
        <f t="shared" si="35"/>
        <v>66.462264246143832</v>
      </c>
      <c r="I125" s="65">
        <f t="shared" si="36"/>
        <v>7.4880000000000004</v>
      </c>
      <c r="J125" s="14">
        <f t="shared" si="32"/>
        <v>67.431364376224394</v>
      </c>
      <c r="K125" s="2"/>
      <c r="L125" s="13">
        <v>1000</v>
      </c>
      <c r="M125" s="33">
        <f>'2º Alta Frec'!N123</f>
        <v>32.195618265823576</v>
      </c>
      <c r="N125" s="33">
        <f>'1º Alta Frec'!V252</f>
        <v>98.294781674599307</v>
      </c>
      <c r="O125" s="33">
        <f t="shared" si="37"/>
        <v>66.099163408775723</v>
      </c>
      <c r="P125" s="18">
        <f>Datos!D178</f>
        <v>0.5</v>
      </c>
      <c r="Q125" s="33">
        <v>0.5</v>
      </c>
      <c r="R125" s="14">
        <f t="shared" si="38"/>
        <v>66.099163408775723</v>
      </c>
      <c r="S125" s="65">
        <f t="shared" si="39"/>
        <v>7.4880000000000004</v>
      </c>
      <c r="T125" s="14">
        <f t="shared" si="33"/>
        <v>67.068263538856286</v>
      </c>
    </row>
    <row r="126" spans="2:20" x14ac:dyDescent="0.2">
      <c r="B126" s="13">
        <v>1250</v>
      </c>
      <c r="C126" s="33">
        <f>'2º Alta Frec'!G124</f>
        <v>30.327754865133937</v>
      </c>
      <c r="D126" s="33">
        <f>'1º Alta Frec'!M253</f>
        <v>98.777425218647778</v>
      </c>
      <c r="E126" s="33">
        <f t="shared" si="34"/>
        <v>68.449670353513838</v>
      </c>
      <c r="F126" s="18">
        <f>Datos!D179</f>
        <v>0.44</v>
      </c>
      <c r="G126" s="33">
        <v>0.5</v>
      </c>
      <c r="H126" s="14">
        <f t="shared" si="35"/>
        <v>67.894497075015522</v>
      </c>
      <c r="I126" s="65">
        <f t="shared" si="36"/>
        <v>8.5090909090909097</v>
      </c>
      <c r="J126" s="14">
        <f t="shared" si="32"/>
        <v>68.863597205096085</v>
      </c>
      <c r="K126" s="2"/>
      <c r="L126" s="13">
        <v>1250</v>
      </c>
      <c r="M126" s="33">
        <f>'2º Alta Frec'!N124</f>
        <v>29.137471542083865</v>
      </c>
      <c r="N126" s="33">
        <f>'1º Alta Frec'!V253</f>
        <v>97.888247878536873</v>
      </c>
      <c r="O126" s="33">
        <f t="shared" si="37"/>
        <v>68.750776336453015</v>
      </c>
      <c r="P126" s="18">
        <f>Datos!D179</f>
        <v>0.44</v>
      </c>
      <c r="Q126" s="33">
        <v>0.5</v>
      </c>
      <c r="R126" s="14">
        <f t="shared" si="38"/>
        <v>68.195603057954699</v>
      </c>
      <c r="S126" s="65">
        <f t="shared" si="39"/>
        <v>8.5090909090909097</v>
      </c>
      <c r="T126" s="14">
        <f t="shared" si="33"/>
        <v>69.164703188035261</v>
      </c>
    </row>
    <row r="127" spans="2:20" x14ac:dyDescent="0.2">
      <c r="B127" s="13">
        <v>1600</v>
      </c>
      <c r="C127" s="33">
        <f>'2º Alta Frec'!G125</f>
        <v>29.59933287843533</v>
      </c>
      <c r="D127" s="33">
        <f>'1º Alta Frec'!M254</f>
        <v>98.348087842327686</v>
      </c>
      <c r="E127" s="33">
        <f t="shared" si="34"/>
        <v>68.748754963892353</v>
      </c>
      <c r="F127" s="18">
        <f>Datos!D180</f>
        <v>0.45</v>
      </c>
      <c r="G127" s="33">
        <v>0.5</v>
      </c>
      <c r="H127" s="14">
        <f t="shared" si="35"/>
        <v>68.291180058285605</v>
      </c>
      <c r="I127" s="65">
        <f t="shared" si="36"/>
        <v>8.32</v>
      </c>
      <c r="J127" s="14">
        <f t="shared" si="32"/>
        <v>69.260280188366167</v>
      </c>
      <c r="K127" s="2"/>
      <c r="L127" s="13">
        <v>1600</v>
      </c>
      <c r="M127" s="33">
        <f>'2º Alta Frec'!N125</f>
        <v>29.076759987667806</v>
      </c>
      <c r="N127" s="33">
        <f>'1º Alta Frec'!V254</f>
        <v>96.660895452098202</v>
      </c>
      <c r="O127" s="33">
        <f t="shared" si="37"/>
        <v>67.584135464430403</v>
      </c>
      <c r="P127" s="18">
        <f>Datos!D180</f>
        <v>0.45</v>
      </c>
      <c r="Q127" s="33">
        <v>0.5</v>
      </c>
      <c r="R127" s="14">
        <f t="shared" si="38"/>
        <v>67.126560558823655</v>
      </c>
      <c r="S127" s="65">
        <f t="shared" si="39"/>
        <v>8.32</v>
      </c>
      <c r="T127" s="14">
        <f t="shared" si="33"/>
        <v>68.095660688904218</v>
      </c>
    </row>
    <row r="128" spans="2:20" x14ac:dyDescent="0.2">
      <c r="B128" s="13">
        <v>2000</v>
      </c>
      <c r="C128" s="33">
        <f>'2º Alta Frec'!G126</f>
        <v>28.589388723128135</v>
      </c>
      <c r="D128" s="33">
        <f>'1º Alta Frec'!M255</f>
        <v>98.15402623259159</v>
      </c>
      <c r="E128" s="33">
        <f t="shared" si="34"/>
        <v>69.564637509463452</v>
      </c>
      <c r="F128" s="18">
        <f>Datos!D181</f>
        <v>0.43</v>
      </c>
      <c r="G128" s="33">
        <v>0.5</v>
      </c>
      <c r="H128" s="14">
        <f t="shared" si="35"/>
        <v>68.909622021899125</v>
      </c>
      <c r="I128" s="65">
        <f t="shared" si="36"/>
        <v>8.7069767441860471</v>
      </c>
      <c r="J128" s="14">
        <f t="shared" si="32"/>
        <v>69.878722151979687</v>
      </c>
      <c r="K128" s="2"/>
      <c r="L128" s="13">
        <v>2000</v>
      </c>
      <c r="M128" s="33">
        <f>'2º Alta Frec'!N126</f>
        <v>27.832376066896177</v>
      </c>
      <c r="N128" s="33">
        <f>'1º Alta Frec'!V255</f>
        <v>95.689980018504897</v>
      </c>
      <c r="O128" s="33">
        <f t="shared" si="37"/>
        <v>67.857603951608723</v>
      </c>
      <c r="P128" s="18">
        <f>Datos!D181</f>
        <v>0.43</v>
      </c>
      <c r="Q128" s="33">
        <v>0.5</v>
      </c>
      <c r="R128" s="14">
        <f t="shared" si="38"/>
        <v>67.202588464044396</v>
      </c>
      <c r="S128" s="65">
        <f t="shared" si="39"/>
        <v>8.7069767441860471</v>
      </c>
      <c r="T128" s="14">
        <f t="shared" si="33"/>
        <v>68.171688594124959</v>
      </c>
    </row>
    <row r="129" spans="2:20" x14ac:dyDescent="0.2">
      <c r="B129" s="13">
        <v>2500</v>
      </c>
      <c r="C129" s="33">
        <f>'2º Alta Frec'!G127</f>
        <v>31.539889447902311</v>
      </c>
      <c r="D129" s="33">
        <f>'1º Alta Frec'!M256</f>
        <v>99.493655603358647</v>
      </c>
      <c r="E129" s="33">
        <f t="shared" si="34"/>
        <v>67.953766155456336</v>
      </c>
      <c r="F129" s="18">
        <f>Datos!D182</f>
        <v>0.43</v>
      </c>
      <c r="G129" s="33">
        <v>0.5</v>
      </c>
      <c r="H129" s="14">
        <f t="shared" si="35"/>
        <v>67.298750667892008</v>
      </c>
      <c r="I129" s="65">
        <f t="shared" si="36"/>
        <v>8.7069767441860471</v>
      </c>
      <c r="J129" s="14">
        <f t="shared" si="32"/>
        <v>68.267850797972571</v>
      </c>
      <c r="K129" s="2"/>
      <c r="L129" s="13">
        <v>2500</v>
      </c>
      <c r="M129" s="33">
        <f>'2º Alta Frec'!N127</f>
        <v>29.817491715439303</v>
      </c>
      <c r="N129" s="33">
        <f>'1º Alta Frec'!V256</f>
        <v>97.822066030912453</v>
      </c>
      <c r="O129" s="33">
        <f t="shared" si="37"/>
        <v>68.00457431547315</v>
      </c>
      <c r="P129" s="18">
        <f>Datos!D182</f>
        <v>0.43</v>
      </c>
      <c r="Q129" s="33">
        <v>0.5</v>
      </c>
      <c r="R129" s="14">
        <f t="shared" si="38"/>
        <v>67.349558827908822</v>
      </c>
      <c r="S129" s="65">
        <f t="shared" si="39"/>
        <v>8.7069767441860471</v>
      </c>
      <c r="T129" s="14">
        <f t="shared" si="33"/>
        <v>68.318658957989385</v>
      </c>
    </row>
    <row r="130" spans="2:20" x14ac:dyDescent="0.2">
      <c r="B130" s="13">
        <v>3150</v>
      </c>
      <c r="C130" s="33">
        <f>'2º Alta Frec'!G128</f>
        <v>33.708182358043587</v>
      </c>
      <c r="D130" s="33">
        <f>'1º Alta Frec'!M257</f>
        <v>97.66061261161542</v>
      </c>
      <c r="E130" s="33">
        <f t="shared" si="34"/>
        <v>63.952430253571833</v>
      </c>
      <c r="F130" s="18">
        <f>Datos!D183</f>
        <v>0.41</v>
      </c>
      <c r="G130" s="33">
        <v>0.5</v>
      </c>
      <c r="H130" s="14">
        <f t="shared" si="35"/>
        <v>63.090568777408997</v>
      </c>
      <c r="I130" s="65">
        <f t="shared" si="36"/>
        <v>9.1317073170731717</v>
      </c>
      <c r="J130" s="14">
        <f t="shared" si="32"/>
        <v>64.059668907489566</v>
      </c>
      <c r="K130" s="2"/>
      <c r="L130" s="13">
        <v>3150</v>
      </c>
      <c r="M130" s="33">
        <f>'2º Alta Frec'!N128</f>
        <v>31.015969572335404</v>
      </c>
      <c r="N130" s="33">
        <f>'1º Alta Frec'!V257</f>
        <v>95.333765429837044</v>
      </c>
      <c r="O130" s="33">
        <f t="shared" si="37"/>
        <v>64.317795857501636</v>
      </c>
      <c r="P130" s="18">
        <f>Datos!D183</f>
        <v>0.41</v>
      </c>
      <c r="Q130" s="33">
        <v>0.5</v>
      </c>
      <c r="R130" s="14">
        <f t="shared" si="38"/>
        <v>63.4559343813388</v>
      </c>
      <c r="S130" s="65">
        <f t="shared" si="39"/>
        <v>9.1317073170731717</v>
      </c>
      <c r="T130" s="14">
        <f t="shared" si="33"/>
        <v>64.425034511419369</v>
      </c>
    </row>
    <row r="131" spans="2:20" x14ac:dyDescent="0.2">
      <c r="B131" s="13">
        <v>4000</v>
      </c>
      <c r="C131" s="33">
        <f>'2º Alta Frec'!G129</f>
        <v>29.975575599272506</v>
      </c>
      <c r="D131" s="33">
        <f>'1º Alta Frec'!M258</f>
        <v>94.133944784530968</v>
      </c>
      <c r="E131" s="33">
        <f t="shared" si="34"/>
        <v>64.158369185258465</v>
      </c>
      <c r="F131" s="18">
        <f>Datos!D184</f>
        <v>0.4</v>
      </c>
      <c r="G131" s="33">
        <v>0.5</v>
      </c>
      <c r="H131" s="14">
        <f t="shared" si="35"/>
        <v>63.189269055177903</v>
      </c>
      <c r="I131" s="65">
        <f t="shared" si="36"/>
        <v>9.36</v>
      </c>
      <c r="J131" s="14">
        <f t="shared" si="32"/>
        <v>64.158369185258465</v>
      </c>
      <c r="K131" s="2"/>
      <c r="L131" s="13">
        <v>4000</v>
      </c>
      <c r="M131" s="33">
        <f>'2º Alta Frec'!N129</f>
        <v>28.318577376529323</v>
      </c>
      <c r="N131" s="33">
        <f>'1º Alta Frec'!V258</f>
        <v>92.449647038723185</v>
      </c>
      <c r="O131" s="33">
        <f t="shared" si="37"/>
        <v>64.131069662193866</v>
      </c>
      <c r="P131" s="18">
        <f>Datos!D184</f>
        <v>0.4</v>
      </c>
      <c r="Q131" s="33">
        <v>0.5</v>
      </c>
      <c r="R131" s="14">
        <f t="shared" si="38"/>
        <v>63.161969532113304</v>
      </c>
      <c r="S131" s="65">
        <f t="shared" si="39"/>
        <v>9.36</v>
      </c>
      <c r="T131" s="14">
        <f t="shared" si="33"/>
        <v>64.131069662193866</v>
      </c>
    </row>
    <row r="132" spans="2:20" x14ac:dyDescent="0.2">
      <c r="B132" s="15">
        <v>5000</v>
      </c>
      <c r="C132" s="23">
        <f>'2º Alta Frec'!G130</f>
        <v>28.634693256289442</v>
      </c>
      <c r="D132" s="23">
        <f>'1º Alta Frec'!M259</f>
        <v>92.854831700769893</v>
      </c>
      <c r="E132" s="23">
        <f t="shared" si="34"/>
        <v>64.220138444480455</v>
      </c>
      <c r="F132" s="16">
        <f>Datos!D185</f>
        <v>0.39</v>
      </c>
      <c r="G132" s="23">
        <v>0.5</v>
      </c>
      <c r="H132" s="17">
        <f t="shared" si="35"/>
        <v>63.141084471385255</v>
      </c>
      <c r="I132" s="67">
        <f t="shared" si="36"/>
        <v>9.6</v>
      </c>
      <c r="J132" s="17">
        <f t="shared" si="32"/>
        <v>64.110184601465818</v>
      </c>
      <c r="K132" s="2"/>
      <c r="L132" s="15">
        <v>5000</v>
      </c>
      <c r="M132" s="23">
        <f>'2º Alta Frec'!N130</f>
        <v>28.0490722976119</v>
      </c>
      <c r="N132" s="23">
        <f>'1º Alta Frec'!V259</f>
        <v>90.926972410941517</v>
      </c>
      <c r="O132" s="23">
        <f t="shared" si="37"/>
        <v>62.877900113329616</v>
      </c>
      <c r="P132" s="16">
        <f>Datos!D185</f>
        <v>0.39</v>
      </c>
      <c r="Q132" s="23">
        <v>0.5</v>
      </c>
      <c r="R132" s="17">
        <f t="shared" si="38"/>
        <v>61.798846140234417</v>
      </c>
      <c r="S132" s="67">
        <f t="shared" si="39"/>
        <v>9.6</v>
      </c>
      <c r="T132" s="17">
        <f t="shared" si="33"/>
        <v>62.767946270314987</v>
      </c>
    </row>
  </sheetData>
  <mergeCells count="20">
    <mergeCell ref="L82:T82"/>
    <mergeCell ref="B82:J82"/>
    <mergeCell ref="B55:J55"/>
    <mergeCell ref="L55:T55"/>
    <mergeCell ref="B28:J28"/>
    <mergeCell ref="L28:T28"/>
    <mergeCell ref="B56:H56"/>
    <mergeCell ref="L56:R56"/>
    <mergeCell ref="B83:H83"/>
    <mergeCell ref="L83:R83"/>
    <mergeCell ref="B110:H110"/>
    <mergeCell ref="L110:R110"/>
    <mergeCell ref="B109:J109"/>
    <mergeCell ref="L109:T109"/>
    <mergeCell ref="B3:H3"/>
    <mergeCell ref="L3:R3"/>
    <mergeCell ref="B29:H29"/>
    <mergeCell ref="L29:R29"/>
    <mergeCell ref="B2:J2"/>
    <mergeCell ref="L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2DAF-AD45-C64F-A046-EC05E13254DE}">
  <dimension ref="A1:O47"/>
  <sheetViews>
    <sheetView showGridLines="0" workbookViewId="0">
      <selection activeCell="O33" sqref="O33"/>
    </sheetView>
  </sheetViews>
  <sheetFormatPr baseColWidth="10" defaultRowHeight="16" x14ac:dyDescent="0.2"/>
  <sheetData>
    <row r="1" spans="1:15" x14ac:dyDescent="0.2">
      <c r="A1" s="172" t="s">
        <v>42</v>
      </c>
      <c r="B1" s="173"/>
      <c r="C1" s="173"/>
      <c r="D1" s="173"/>
      <c r="E1" s="174"/>
      <c r="F1" s="172" t="s">
        <v>43</v>
      </c>
      <c r="G1" s="173"/>
      <c r="H1" s="173"/>
      <c r="I1" s="173"/>
      <c r="J1" s="174"/>
      <c r="K1" s="172" t="s">
        <v>44</v>
      </c>
      <c r="L1" s="173"/>
      <c r="M1" s="173"/>
      <c r="N1" s="173"/>
      <c r="O1" s="174"/>
    </row>
    <row r="2" spans="1:15" ht="29" customHeight="1" x14ac:dyDescent="0.2">
      <c r="A2" s="28"/>
      <c r="B2" s="29"/>
      <c r="C2" s="29"/>
      <c r="D2" s="29"/>
      <c r="E2" s="30"/>
      <c r="F2" s="28"/>
      <c r="G2" s="29"/>
      <c r="H2" s="29"/>
      <c r="I2" s="29"/>
      <c r="J2" s="30"/>
      <c r="K2" s="28"/>
      <c r="L2" s="29"/>
      <c r="M2" s="29"/>
      <c r="N2" s="29"/>
      <c r="O2" s="30"/>
    </row>
    <row r="3" spans="1:15" x14ac:dyDescent="0.2">
      <c r="A3" s="77">
        <v>50</v>
      </c>
      <c r="B3" s="55">
        <v>26.067704316613682</v>
      </c>
      <c r="C3" s="55">
        <v>29.19529963354579</v>
      </c>
      <c r="D3" s="86">
        <v>2</v>
      </c>
      <c r="E3" s="87">
        <v>27.355839205834886</v>
      </c>
      <c r="F3" s="13">
        <v>50</v>
      </c>
      <c r="G3" s="33">
        <v>11.386478964700558</v>
      </c>
      <c r="H3" s="33">
        <v>19.821090538251354</v>
      </c>
      <c r="I3" s="34">
        <v>2</v>
      </c>
      <c r="J3" s="14">
        <v>13.814809971107351</v>
      </c>
      <c r="K3" s="13">
        <v>50</v>
      </c>
      <c r="L3" s="33">
        <v>26.346571848534929</v>
      </c>
      <c r="M3" s="33">
        <v>22.389087336791981</v>
      </c>
      <c r="N3" s="34">
        <v>2</v>
      </c>
      <c r="O3" s="14">
        <v>23.931834050830368</v>
      </c>
    </row>
    <row r="4" spans="1:15" x14ac:dyDescent="0.2">
      <c r="A4" s="13">
        <v>63</v>
      </c>
      <c r="B4" s="33">
        <v>39.258035615160608</v>
      </c>
      <c r="C4" s="33">
        <v>45.012716056011001</v>
      </c>
      <c r="D4" s="34">
        <v>2</v>
      </c>
      <c r="E4" s="14">
        <v>41.244732997582084</v>
      </c>
      <c r="F4" s="13">
        <v>63</v>
      </c>
      <c r="G4" s="33">
        <v>8.962498031381525</v>
      </c>
      <c r="H4" s="33">
        <v>31.543969310451242</v>
      </c>
      <c r="I4" s="34">
        <v>2</v>
      </c>
      <c r="J4" s="14">
        <v>11.948895587728309</v>
      </c>
      <c r="K4" s="13">
        <v>63</v>
      </c>
      <c r="L4" s="33">
        <v>26.770217621520487</v>
      </c>
      <c r="M4" s="33">
        <v>36.416791100028668</v>
      </c>
      <c r="N4" s="34">
        <v>2</v>
      </c>
      <c r="O4" s="14">
        <v>29.333245835773013</v>
      </c>
    </row>
    <row r="5" spans="1:15" x14ac:dyDescent="0.2">
      <c r="A5" s="13">
        <v>80</v>
      </c>
      <c r="B5" s="33">
        <v>32.56869634930802</v>
      </c>
      <c r="C5" s="33">
        <v>45.403747572749964</v>
      </c>
      <c r="D5" s="34">
        <v>2</v>
      </c>
      <c r="E5" s="14">
        <v>35.358595813444936</v>
      </c>
      <c r="F5" s="13">
        <v>80</v>
      </c>
      <c r="G5" s="33">
        <v>7.5267824388004216</v>
      </c>
      <c r="H5" s="33">
        <v>16.002890856045706</v>
      </c>
      <c r="I5" s="34">
        <v>2</v>
      </c>
      <c r="J5" s="14">
        <v>9.9602959883230309</v>
      </c>
      <c r="K5" s="13">
        <v>80</v>
      </c>
      <c r="L5" s="33">
        <v>26.039768104996032</v>
      </c>
      <c r="M5" s="33">
        <v>34.691518435297986</v>
      </c>
      <c r="N5" s="34">
        <v>2</v>
      </c>
      <c r="O5" s="14">
        <v>28.494743092027186</v>
      </c>
    </row>
    <row r="6" spans="1:15" x14ac:dyDescent="0.2">
      <c r="A6" s="13">
        <v>100</v>
      </c>
      <c r="B6" s="33">
        <v>35.348972161168611</v>
      </c>
      <c r="C6" s="33">
        <v>44.532997148583213</v>
      </c>
      <c r="D6" s="34">
        <v>2</v>
      </c>
      <c r="E6" s="14">
        <v>37.864496606779319</v>
      </c>
      <c r="F6" s="13">
        <v>100</v>
      </c>
      <c r="G6" s="33">
        <v>17.645648483227781</v>
      </c>
      <c r="H6" s="33">
        <v>21.594907113631216</v>
      </c>
      <c r="I6" s="34">
        <v>2</v>
      </c>
      <c r="J6" s="14">
        <v>19.18603487120118</v>
      </c>
      <c r="K6" s="13">
        <v>100</v>
      </c>
      <c r="L6" s="33">
        <v>25.413744982563944</v>
      </c>
      <c r="M6" s="33">
        <v>35.010898917595227</v>
      </c>
      <c r="N6" s="34">
        <v>2</v>
      </c>
      <c r="O6" s="14">
        <v>27.971911986126781</v>
      </c>
    </row>
    <row r="7" spans="1:15" x14ac:dyDescent="0.2">
      <c r="A7" s="13">
        <v>125</v>
      </c>
      <c r="B7" s="33">
        <v>33.063554254190286</v>
      </c>
      <c r="C7" s="33">
        <v>34.428077944183869</v>
      </c>
      <c r="D7" s="34">
        <v>2</v>
      </c>
      <c r="E7" s="14">
        <v>33.69244458250725</v>
      </c>
      <c r="F7" s="13">
        <v>125</v>
      </c>
      <c r="G7" s="33">
        <v>14.19846045389586</v>
      </c>
      <c r="H7" s="33">
        <v>21.833224675641304</v>
      </c>
      <c r="I7" s="34">
        <v>2</v>
      </c>
      <c r="J7" s="14">
        <v>16.518022434262374</v>
      </c>
      <c r="K7" s="13">
        <v>125</v>
      </c>
      <c r="L7" s="33">
        <v>22.221031529957649</v>
      </c>
      <c r="M7" s="33">
        <v>36.358232560682303</v>
      </c>
      <c r="N7" s="34">
        <v>2</v>
      </c>
      <c r="O7" s="14">
        <v>25.066962514447482</v>
      </c>
    </row>
    <row r="8" spans="1:15" x14ac:dyDescent="0.2">
      <c r="A8" s="13">
        <v>160</v>
      </c>
      <c r="B8" s="33">
        <v>37.761249848027525</v>
      </c>
      <c r="C8" s="33">
        <v>39.996221227449894</v>
      </c>
      <c r="D8" s="34">
        <v>2</v>
      </c>
      <c r="E8" s="14">
        <v>38.736524104761116</v>
      </c>
      <c r="F8" s="13">
        <v>160</v>
      </c>
      <c r="G8" s="33">
        <v>15.340442488835098</v>
      </c>
      <c r="H8" s="33">
        <v>17.943493328584015</v>
      </c>
      <c r="I8" s="34">
        <v>2</v>
      </c>
      <c r="J8" s="14">
        <v>16.449793807423106</v>
      </c>
      <c r="K8" s="13">
        <v>160</v>
      </c>
      <c r="L8" s="33">
        <v>25.137164207139417</v>
      </c>
      <c r="M8" s="33">
        <v>31.287498035080855</v>
      </c>
      <c r="N8" s="34">
        <v>2</v>
      </c>
      <c r="O8" s="14">
        <v>27.204002631510068</v>
      </c>
    </row>
    <row r="9" spans="1:15" x14ac:dyDescent="0.2">
      <c r="A9" s="13">
        <v>200</v>
      </c>
      <c r="B9" s="33">
        <v>41.851067975465234</v>
      </c>
      <c r="C9" s="33">
        <v>39.612227924138146</v>
      </c>
      <c r="D9" s="34">
        <v>2</v>
      </c>
      <c r="E9" s="14">
        <v>40.588949089531098</v>
      </c>
      <c r="F9" s="13">
        <v>200</v>
      </c>
      <c r="G9" s="33">
        <v>15.31929249081449</v>
      </c>
      <c r="H9" s="33">
        <v>12.076942262271956</v>
      </c>
      <c r="I9" s="34">
        <v>2</v>
      </c>
      <c r="J9" s="14">
        <v>13.402310360074296</v>
      </c>
      <c r="K9" s="13">
        <v>200</v>
      </c>
      <c r="L9" s="33">
        <v>29.984614194919224</v>
      </c>
      <c r="M9" s="33">
        <v>40.958077948887357</v>
      </c>
      <c r="N9" s="34">
        <v>2</v>
      </c>
      <c r="O9" s="14">
        <v>32.660999677774811</v>
      </c>
    </row>
    <row r="10" spans="1:15" x14ac:dyDescent="0.2">
      <c r="A10" s="13">
        <v>250</v>
      </c>
      <c r="B10" s="33">
        <v>46.032783098491599</v>
      </c>
      <c r="C10" s="33">
        <v>42.041237581441102</v>
      </c>
      <c r="D10" s="34">
        <v>2</v>
      </c>
      <c r="E10" s="14">
        <v>43.593723839739972</v>
      </c>
      <c r="F10" s="13">
        <v>250</v>
      </c>
      <c r="G10" s="33">
        <v>17.477413164587372</v>
      </c>
      <c r="H10" s="33">
        <v>9.4928177861506775</v>
      </c>
      <c r="I10" s="34">
        <v>2</v>
      </c>
      <c r="J10" s="14">
        <v>11.862086713946493</v>
      </c>
      <c r="K10" s="13">
        <v>250</v>
      </c>
      <c r="L10" s="33">
        <v>31.520712605028368</v>
      </c>
      <c r="M10" s="33">
        <v>39.62162433232087</v>
      </c>
      <c r="N10" s="34">
        <v>2</v>
      </c>
      <c r="O10" s="14">
        <v>33.90575996932499</v>
      </c>
    </row>
    <row r="11" spans="1:15" x14ac:dyDescent="0.2">
      <c r="A11" s="13">
        <v>315</v>
      </c>
      <c r="B11" s="33">
        <v>42.165948559310046</v>
      </c>
      <c r="C11" s="33">
        <v>40.351087236661563</v>
      </c>
      <c r="D11" s="34">
        <v>2</v>
      </c>
      <c r="E11" s="14">
        <v>41.164398837888072</v>
      </c>
      <c r="F11" s="13">
        <v>315</v>
      </c>
      <c r="G11" s="33">
        <v>16.387537442605481</v>
      </c>
      <c r="H11" s="33">
        <v>16.038317855720525</v>
      </c>
      <c r="I11" s="34">
        <v>2</v>
      </c>
      <c r="J11" s="14">
        <v>16.209418466940061</v>
      </c>
      <c r="K11" s="13">
        <v>315</v>
      </c>
      <c r="L11" s="33">
        <v>30.008140199605744</v>
      </c>
      <c r="M11" s="33">
        <v>33.948220658075357</v>
      </c>
      <c r="N11" s="34">
        <v>2</v>
      </c>
      <c r="O11" s="14">
        <v>31.545889247802631</v>
      </c>
    </row>
    <row r="12" spans="1:15" x14ac:dyDescent="0.2">
      <c r="A12" s="13">
        <v>400</v>
      </c>
      <c r="B12" s="33">
        <v>41.583186999310747</v>
      </c>
      <c r="C12" s="33">
        <v>41.988973137439373</v>
      </c>
      <c r="D12" s="34">
        <v>2</v>
      </c>
      <c r="E12" s="14">
        <v>41.781342426807612</v>
      </c>
      <c r="F12" s="13">
        <v>400</v>
      </c>
      <c r="G12" s="33">
        <v>24.201579969559575</v>
      </c>
      <c r="H12" s="33">
        <v>18.608579663491525</v>
      </c>
      <c r="I12" s="34">
        <v>2</v>
      </c>
      <c r="J12" s="14">
        <v>20.560825103623547</v>
      </c>
      <c r="K12" s="13">
        <v>400</v>
      </c>
      <c r="L12" s="33">
        <v>29.255681694653344</v>
      </c>
      <c r="M12" s="33">
        <v>37.045288804798282</v>
      </c>
      <c r="N12" s="34">
        <v>2</v>
      </c>
      <c r="O12" s="14">
        <v>31.597669204023717</v>
      </c>
    </row>
    <row r="13" spans="1:15" x14ac:dyDescent="0.2">
      <c r="A13" s="13">
        <v>500</v>
      </c>
      <c r="B13" s="33">
        <v>43.510798780570184</v>
      </c>
      <c r="C13" s="33">
        <v>43.666334386158006</v>
      </c>
      <c r="D13" s="34">
        <v>2</v>
      </c>
      <c r="E13" s="14">
        <v>43.587870338278677</v>
      </c>
      <c r="F13" s="13">
        <v>500</v>
      </c>
      <c r="G13" s="33">
        <v>23.469410744140475</v>
      </c>
      <c r="H13" s="33">
        <v>20.555136890962828</v>
      </c>
      <c r="I13" s="34">
        <v>2</v>
      </c>
      <c r="J13" s="14">
        <v>21.772279066582016</v>
      </c>
      <c r="K13" s="13">
        <v>500</v>
      </c>
      <c r="L13" s="33">
        <v>32.589294640227386</v>
      </c>
      <c r="M13" s="33">
        <v>37.103450719945535</v>
      </c>
      <c r="N13" s="34">
        <v>2</v>
      </c>
      <c r="O13" s="14">
        <v>34.284502688794831</v>
      </c>
    </row>
    <row r="14" spans="1:15" x14ac:dyDescent="0.2">
      <c r="A14" s="13">
        <v>630</v>
      </c>
      <c r="B14" s="33">
        <v>48.234336265124938</v>
      </c>
      <c r="C14" s="33">
        <v>49.058975914575271</v>
      </c>
      <c r="D14" s="34">
        <v>2</v>
      </c>
      <c r="E14" s="14">
        <v>48.627112570482936</v>
      </c>
      <c r="F14" s="13">
        <v>630</v>
      </c>
      <c r="G14" s="33">
        <v>23.563776368686092</v>
      </c>
      <c r="H14" s="33">
        <v>22.502199754358543</v>
      </c>
      <c r="I14" s="34">
        <v>2</v>
      </c>
      <c r="J14" s="14">
        <v>23.00063241110476</v>
      </c>
      <c r="K14" s="13">
        <v>630</v>
      </c>
      <c r="L14" s="33">
        <v>30.445533253980624</v>
      </c>
      <c r="M14" s="33">
        <v>40.570841803919414</v>
      </c>
      <c r="N14" s="34">
        <v>2</v>
      </c>
      <c r="O14" s="14">
        <v>33.053149812014659</v>
      </c>
    </row>
    <row r="15" spans="1:15" x14ac:dyDescent="0.2">
      <c r="A15" s="13">
        <v>800</v>
      </c>
      <c r="B15" s="33">
        <v>51.097166335820077</v>
      </c>
      <c r="C15" s="33">
        <v>50.340453846893809</v>
      </c>
      <c r="D15" s="34">
        <v>2</v>
      </c>
      <c r="E15" s="14">
        <v>50.702349747763122</v>
      </c>
      <c r="F15" s="13">
        <v>800</v>
      </c>
      <c r="G15" s="33">
        <v>26.124309280911714</v>
      </c>
      <c r="H15" s="33">
        <v>22.531311156390199</v>
      </c>
      <c r="I15" s="34">
        <v>2</v>
      </c>
      <c r="J15" s="14">
        <v>23.966378081951767</v>
      </c>
      <c r="K15" s="13">
        <v>800</v>
      </c>
      <c r="L15" s="33">
        <v>33.612750561585564</v>
      </c>
      <c r="M15" s="33">
        <v>42.952507973272979</v>
      </c>
      <c r="N15" s="34">
        <v>2</v>
      </c>
      <c r="O15" s="14">
        <v>36.14477791697346</v>
      </c>
    </row>
    <row r="16" spans="1:15" x14ac:dyDescent="0.2">
      <c r="A16" s="13">
        <v>1000</v>
      </c>
      <c r="B16" s="33">
        <v>53.17005439681477</v>
      </c>
      <c r="C16" s="33">
        <v>51.867180580051148</v>
      </c>
      <c r="D16" s="34">
        <v>2</v>
      </c>
      <c r="E16" s="14">
        <v>52.469942202150179</v>
      </c>
      <c r="F16" s="13">
        <v>1000</v>
      </c>
      <c r="G16" s="33">
        <v>26.261121035731733</v>
      </c>
      <c r="H16" s="33">
        <v>21.643006055348636</v>
      </c>
      <c r="I16" s="34">
        <v>2</v>
      </c>
      <c r="J16" s="14">
        <v>23.365135319675545</v>
      </c>
      <c r="K16" s="13">
        <v>1000</v>
      </c>
      <c r="L16" s="33">
        <v>35.556859135712564</v>
      </c>
      <c r="M16" s="33">
        <v>43.865390295817967</v>
      </c>
      <c r="N16" s="34">
        <v>2</v>
      </c>
      <c r="O16" s="14">
        <v>37.96917584497244</v>
      </c>
    </row>
    <row r="17" spans="1:15" x14ac:dyDescent="0.2">
      <c r="A17" s="13">
        <v>1250</v>
      </c>
      <c r="B17" s="33">
        <v>51.729482260745151</v>
      </c>
      <c r="C17" s="33">
        <v>50.587443810897341</v>
      </c>
      <c r="D17" s="34">
        <v>2</v>
      </c>
      <c r="E17" s="14">
        <v>51.121031315311505</v>
      </c>
      <c r="F17" s="13">
        <v>1250</v>
      </c>
      <c r="G17" s="33">
        <v>25.254770734439681</v>
      </c>
      <c r="H17" s="33">
        <v>21.924916877757148</v>
      </c>
      <c r="I17" s="34">
        <v>2</v>
      </c>
      <c r="J17" s="14">
        <v>23.278231421794217</v>
      </c>
      <c r="K17" s="13">
        <v>1250</v>
      </c>
      <c r="L17" s="33">
        <v>36.306732035376271</v>
      </c>
      <c r="M17" s="33">
        <v>45.393157191781853</v>
      </c>
      <c r="N17" s="34">
        <v>2</v>
      </c>
      <c r="O17" s="14">
        <v>38.811641303025141</v>
      </c>
    </row>
    <row r="18" spans="1:15" x14ac:dyDescent="0.2">
      <c r="A18" s="13">
        <v>1600</v>
      </c>
      <c r="B18" s="33">
        <v>52.860013457912039</v>
      </c>
      <c r="C18" s="33">
        <v>51.403417234114364</v>
      </c>
      <c r="D18" s="34">
        <v>2</v>
      </c>
      <c r="E18" s="14">
        <v>52.070932794333203</v>
      </c>
      <c r="F18" s="13">
        <v>1600</v>
      </c>
      <c r="G18" s="33">
        <v>25.612950751989292</v>
      </c>
      <c r="H18" s="33">
        <v>22.208114161762115</v>
      </c>
      <c r="I18" s="34">
        <v>2</v>
      </c>
      <c r="J18" s="14">
        <v>23.58507239531172</v>
      </c>
      <c r="K18" s="13">
        <v>1600</v>
      </c>
      <c r="L18" s="33">
        <v>37.258406192274741</v>
      </c>
      <c r="M18" s="33">
        <v>45.805614379159415</v>
      </c>
      <c r="N18" s="34">
        <v>2</v>
      </c>
      <c r="O18" s="14">
        <v>39.700699195063947</v>
      </c>
    </row>
    <row r="19" spans="1:15" x14ac:dyDescent="0.2">
      <c r="A19" s="13">
        <v>2000</v>
      </c>
      <c r="B19" s="33">
        <v>52.183460950651245</v>
      </c>
      <c r="C19" s="33">
        <v>50.635299513868155</v>
      </c>
      <c r="D19" s="34">
        <v>2</v>
      </c>
      <c r="E19" s="14">
        <v>51.340756874922626</v>
      </c>
      <c r="F19" s="13">
        <v>2000</v>
      </c>
      <c r="G19" s="33">
        <v>22.064970718070068</v>
      </c>
      <c r="H19" s="33">
        <v>20.842874666829754</v>
      </c>
      <c r="I19" s="34">
        <v>2</v>
      </c>
      <c r="J19" s="14">
        <v>21.411076852541914</v>
      </c>
      <c r="K19" s="13">
        <v>2000</v>
      </c>
      <c r="L19" s="33">
        <v>38.749390719287099</v>
      </c>
      <c r="M19" s="33">
        <v>46.521168176390979</v>
      </c>
      <c r="N19" s="34">
        <v>2</v>
      </c>
      <c r="O19" s="14">
        <v>41.088830721913531</v>
      </c>
    </row>
    <row r="20" spans="1:15" x14ac:dyDescent="0.2">
      <c r="A20" s="13">
        <v>2500</v>
      </c>
      <c r="B20" s="33">
        <v>47.597262388544451</v>
      </c>
      <c r="C20" s="33">
        <v>45.960719566830868</v>
      </c>
      <c r="D20" s="34">
        <v>2</v>
      </c>
      <c r="E20" s="14">
        <v>46.702355924532348</v>
      </c>
      <c r="F20" s="13">
        <v>2500</v>
      </c>
      <c r="G20" s="33">
        <v>17.979617956758158</v>
      </c>
      <c r="H20" s="33">
        <v>18.940339044203181</v>
      </c>
      <c r="I20" s="34">
        <v>2</v>
      </c>
      <c r="J20" s="14">
        <v>18.433466847462196</v>
      </c>
      <c r="K20" s="13">
        <v>2500</v>
      </c>
      <c r="L20" s="33">
        <v>37.855127092437783</v>
      </c>
      <c r="M20" s="33">
        <v>46.051760715146933</v>
      </c>
      <c r="N20" s="34">
        <v>2</v>
      </c>
      <c r="O20" s="14">
        <v>40.252887603359454</v>
      </c>
    </row>
    <row r="21" spans="1:15" x14ac:dyDescent="0.2">
      <c r="A21" s="13">
        <v>3150</v>
      </c>
      <c r="B21" s="33">
        <v>43.478459776014006</v>
      </c>
      <c r="C21" s="33">
        <v>41.683279565883694</v>
      </c>
      <c r="D21" s="34">
        <v>2</v>
      </c>
      <c r="E21" s="14">
        <v>42.488766645058647</v>
      </c>
      <c r="F21" s="13">
        <v>3150</v>
      </c>
      <c r="G21" s="33">
        <v>19.770897486401399</v>
      </c>
      <c r="H21" s="33">
        <v>16.361288958424598</v>
      </c>
      <c r="I21" s="34">
        <v>2</v>
      </c>
      <c r="J21" s="14">
        <v>17.73974243960685</v>
      </c>
      <c r="K21" s="13">
        <v>3150</v>
      </c>
      <c r="L21" s="33">
        <v>35.793070841465415</v>
      </c>
      <c r="M21" s="33">
        <v>42.984068025965676</v>
      </c>
      <c r="N21" s="34">
        <v>2</v>
      </c>
      <c r="O21" s="14">
        <v>38.044466584606838</v>
      </c>
    </row>
    <row r="22" spans="1:15" x14ac:dyDescent="0.2">
      <c r="A22" s="13">
        <v>4000</v>
      </c>
      <c r="B22" s="33">
        <v>44.655969823539799</v>
      </c>
      <c r="C22" s="33">
        <v>43.612050308700852</v>
      </c>
      <c r="D22" s="34">
        <v>2</v>
      </c>
      <c r="E22" s="14">
        <v>44.102719245111288</v>
      </c>
      <c r="F22" s="13">
        <v>4000</v>
      </c>
      <c r="G22" s="33">
        <v>22.295049086443711</v>
      </c>
      <c r="H22" s="33">
        <v>17.796125565432575</v>
      </c>
      <c r="I22" s="34">
        <v>2</v>
      </c>
      <c r="J22" s="14">
        <v>19.487348776137711</v>
      </c>
      <c r="K22" s="13">
        <v>4000</v>
      </c>
      <c r="L22" s="33">
        <v>36.309061585735279</v>
      </c>
      <c r="M22" s="33">
        <v>44.689485787402887</v>
      </c>
      <c r="N22" s="34">
        <v>2</v>
      </c>
      <c r="O22" s="14">
        <v>38.73055960620011</v>
      </c>
    </row>
    <row r="23" spans="1:15" x14ac:dyDescent="0.2">
      <c r="A23" s="15">
        <v>5000</v>
      </c>
      <c r="B23" s="23">
        <v>49.60969512555063</v>
      </c>
      <c r="C23" s="23">
        <v>48.975219363962388</v>
      </c>
      <c r="D23" s="24">
        <v>2</v>
      </c>
      <c r="E23" s="17">
        <v>49.28088094055412</v>
      </c>
      <c r="F23" s="15">
        <v>5000</v>
      </c>
      <c r="G23" s="23">
        <v>22.92445623273694</v>
      </c>
      <c r="H23" s="23">
        <v>20.174592477652379</v>
      </c>
      <c r="I23" s="24">
        <v>2</v>
      </c>
      <c r="J23" s="17">
        <v>21.335421085612282</v>
      </c>
      <c r="K23" s="15">
        <v>5000</v>
      </c>
      <c r="L23" s="23">
        <v>39.459073204930974</v>
      </c>
      <c r="M23" s="23">
        <v>47.81535174215476</v>
      </c>
      <c r="N23" s="24">
        <v>2</v>
      </c>
      <c r="O23" s="17">
        <v>41.877502408759817</v>
      </c>
    </row>
    <row r="25" spans="1:15" x14ac:dyDescent="0.2">
      <c r="A25" s="172" t="s">
        <v>45</v>
      </c>
      <c r="B25" s="173"/>
      <c r="C25" s="173"/>
      <c r="D25" s="173"/>
      <c r="E25" s="174"/>
      <c r="F25" s="172" t="s">
        <v>46</v>
      </c>
      <c r="G25" s="173"/>
      <c r="H25" s="173"/>
      <c r="I25" s="173"/>
      <c r="J25" s="174"/>
    </row>
    <row r="26" spans="1:15" ht="28" customHeight="1" x14ac:dyDescent="0.2">
      <c r="A26" s="28"/>
      <c r="B26" s="29"/>
      <c r="C26" s="29"/>
      <c r="D26" s="29"/>
      <c r="E26" s="30"/>
      <c r="F26" s="28"/>
      <c r="G26" s="29"/>
      <c r="H26" s="29"/>
      <c r="I26" s="29"/>
      <c r="J26" s="30"/>
    </row>
    <row r="27" spans="1:15" x14ac:dyDescent="0.2">
      <c r="A27" s="13">
        <v>50</v>
      </c>
      <c r="B27" s="33">
        <v>28.936404474976619</v>
      </c>
      <c r="C27" s="33">
        <v>25.980093655893789</v>
      </c>
      <c r="D27" s="34">
        <v>2</v>
      </c>
      <c r="E27" s="14">
        <v>27.211409966359884</v>
      </c>
      <c r="F27" s="13">
        <v>50</v>
      </c>
      <c r="G27" s="33">
        <v>39.563162406944215</v>
      </c>
      <c r="H27" s="33">
        <v>40.582243605518343</v>
      </c>
      <c r="I27" s="34">
        <v>2</v>
      </c>
      <c r="J27" s="14">
        <v>40.042880137781616</v>
      </c>
    </row>
    <row r="28" spans="1:15" x14ac:dyDescent="0.2">
      <c r="A28" s="13">
        <v>63</v>
      </c>
      <c r="B28" s="33">
        <v>36.128441318770228</v>
      </c>
      <c r="C28" s="33">
        <v>29.449062667981487</v>
      </c>
      <c r="D28" s="34">
        <v>2</v>
      </c>
      <c r="E28" s="14">
        <v>31.614265532745684</v>
      </c>
      <c r="F28" s="13">
        <v>63</v>
      </c>
      <c r="G28" s="33">
        <v>54.596692967681257</v>
      </c>
      <c r="H28" s="33">
        <v>45.914748094153055</v>
      </c>
      <c r="I28" s="34">
        <v>2</v>
      </c>
      <c r="J28" s="14">
        <v>48.373336287240036</v>
      </c>
    </row>
    <row r="29" spans="1:15" x14ac:dyDescent="0.2">
      <c r="A29" s="13">
        <v>80</v>
      </c>
      <c r="B29" s="33">
        <v>29.87050395424669</v>
      </c>
      <c r="C29" s="33">
        <v>27.113438298638119</v>
      </c>
      <c r="D29" s="34">
        <v>2</v>
      </c>
      <c r="E29" s="14">
        <v>28.276763100779256</v>
      </c>
      <c r="F29" s="13">
        <v>80</v>
      </c>
      <c r="G29" s="33">
        <v>46.118354575867109</v>
      </c>
      <c r="H29" s="33">
        <v>43.486235642225068</v>
      </c>
      <c r="I29" s="34">
        <v>2</v>
      </c>
      <c r="J29" s="14">
        <v>44.605868970568523</v>
      </c>
    </row>
    <row r="30" spans="1:15" x14ac:dyDescent="0.2">
      <c r="A30" s="13">
        <v>100</v>
      </c>
      <c r="B30" s="33">
        <v>32.27764134728131</v>
      </c>
      <c r="C30" s="33">
        <v>34.593386356260929</v>
      </c>
      <c r="D30" s="34">
        <v>2</v>
      </c>
      <c r="E30" s="14">
        <v>33.282958288498818</v>
      </c>
      <c r="F30" s="13">
        <v>100</v>
      </c>
      <c r="G30" s="33">
        <v>47.9207026162265</v>
      </c>
      <c r="H30" s="33">
        <v>35.115295692343999</v>
      </c>
      <c r="I30" s="34">
        <v>2</v>
      </c>
      <c r="J30" s="14">
        <v>37.903723503227148</v>
      </c>
    </row>
    <row r="31" spans="1:15" x14ac:dyDescent="0.2">
      <c r="A31" s="13">
        <v>125</v>
      </c>
      <c r="B31" s="33">
        <v>25.756164377159102</v>
      </c>
      <c r="C31" s="33">
        <v>34.315575035163874</v>
      </c>
      <c r="D31" s="34">
        <v>2</v>
      </c>
      <c r="E31" s="14">
        <v>28.199951518936825</v>
      </c>
      <c r="F31" s="13">
        <v>125</v>
      </c>
      <c r="G31" s="33">
        <v>45.30807674788305</v>
      </c>
      <c r="H31" s="33">
        <v>39.52907819921797</v>
      </c>
      <c r="I31" s="34">
        <v>2</v>
      </c>
      <c r="J31" s="14">
        <v>41.52087054263005</v>
      </c>
    </row>
    <row r="32" spans="1:15" x14ac:dyDescent="0.2">
      <c r="A32" s="13">
        <v>160</v>
      </c>
      <c r="B32" s="33">
        <v>30.37815785977774</v>
      </c>
      <c r="C32" s="33">
        <v>37.112064050157443</v>
      </c>
      <c r="D32" s="34">
        <v>2</v>
      </c>
      <c r="E32" s="14">
        <v>32.552953059409553</v>
      </c>
      <c r="F32" s="13">
        <v>160</v>
      </c>
      <c r="G32" s="33">
        <v>49.97779368063096</v>
      </c>
      <c r="H32" s="33">
        <v>49.840082441363464</v>
      </c>
      <c r="I32" s="34">
        <v>2</v>
      </c>
      <c r="J32" s="14">
        <v>49.90839224497384</v>
      </c>
    </row>
    <row r="33" spans="1:10" x14ac:dyDescent="0.2">
      <c r="A33" s="13">
        <v>200</v>
      </c>
      <c r="B33" s="33">
        <v>36.775118695377138</v>
      </c>
      <c r="C33" s="33">
        <v>34.837559060695774</v>
      </c>
      <c r="D33" s="34">
        <v>2</v>
      </c>
      <c r="E33" s="14">
        <v>35.699170525428151</v>
      </c>
      <c r="F33" s="13">
        <v>200</v>
      </c>
      <c r="G33" s="33">
        <v>56.010994739245454</v>
      </c>
      <c r="H33" s="33">
        <v>51.395016939650418</v>
      </c>
      <c r="I33" s="34">
        <v>2</v>
      </c>
      <c r="J33" s="14">
        <v>53.116597558093794</v>
      </c>
    </row>
    <row r="34" spans="1:10" x14ac:dyDescent="0.2">
      <c r="A34" s="13">
        <v>250</v>
      </c>
      <c r="B34" s="33">
        <v>37.372692022019358</v>
      </c>
      <c r="C34" s="33">
        <v>32.668389769310686</v>
      </c>
      <c r="D34" s="34">
        <v>2</v>
      </c>
      <c r="E34" s="14">
        <v>34.412477894784992</v>
      </c>
      <c r="F34" s="13">
        <v>250</v>
      </c>
      <c r="G34" s="33">
        <v>58.070630520640492</v>
      </c>
      <c r="H34" s="33">
        <v>56.207075854899834</v>
      </c>
      <c r="I34" s="34">
        <v>2</v>
      </c>
      <c r="J34" s="14">
        <v>57.03965450631641</v>
      </c>
    </row>
    <row r="35" spans="1:10" x14ac:dyDescent="0.2">
      <c r="A35" s="13">
        <v>315</v>
      </c>
      <c r="B35" s="33">
        <v>31.30107523374377</v>
      </c>
      <c r="C35" s="33">
        <v>34.2478797114277</v>
      </c>
      <c r="D35" s="34">
        <v>2</v>
      </c>
      <c r="E35" s="14">
        <v>32.52919412570958</v>
      </c>
      <c r="F35" s="13">
        <v>315</v>
      </c>
      <c r="G35" s="33">
        <v>57.091870446085423</v>
      </c>
      <c r="H35" s="33">
        <v>53.960135845138431</v>
      </c>
      <c r="I35" s="34">
        <v>2</v>
      </c>
      <c r="J35" s="14">
        <v>55.249625330919052</v>
      </c>
    </row>
    <row r="36" spans="1:10" x14ac:dyDescent="0.2">
      <c r="A36" s="13">
        <v>400</v>
      </c>
      <c r="B36" s="33">
        <v>36.097783891736377</v>
      </c>
      <c r="C36" s="33">
        <v>34.402306358171849</v>
      </c>
      <c r="D36" s="34">
        <v>2</v>
      </c>
      <c r="E36" s="14">
        <v>35.167826368968157</v>
      </c>
      <c r="F36" s="13">
        <v>400</v>
      </c>
      <c r="G36" s="33">
        <v>58.529775237882163</v>
      </c>
      <c r="H36" s="33">
        <v>56.9434711896631</v>
      </c>
      <c r="I36" s="34">
        <v>2</v>
      </c>
      <c r="J36" s="14">
        <v>57.664595606980136</v>
      </c>
    </row>
    <row r="37" spans="1:10" x14ac:dyDescent="0.2">
      <c r="A37" s="13">
        <v>500</v>
      </c>
      <c r="B37" s="33">
        <v>34.129086989107783</v>
      </c>
      <c r="C37" s="33">
        <v>34.647840962975344</v>
      </c>
      <c r="D37" s="34">
        <v>2</v>
      </c>
      <c r="E37" s="14">
        <v>34.380723092017426</v>
      </c>
      <c r="F37" s="13">
        <v>500</v>
      </c>
      <c r="G37" s="33">
        <v>59.618113220607171</v>
      </c>
      <c r="H37" s="33">
        <v>58.760280244498539</v>
      </c>
      <c r="I37" s="34">
        <v>2</v>
      </c>
      <c r="J37" s="14">
        <v>59.168050820253669</v>
      </c>
    </row>
    <row r="38" spans="1:10" x14ac:dyDescent="0.2">
      <c r="A38" s="13">
        <v>630</v>
      </c>
      <c r="B38" s="33">
        <v>35.579816219930912</v>
      </c>
      <c r="C38" s="33">
        <v>36.783259346050549</v>
      </c>
      <c r="D38" s="34">
        <v>2</v>
      </c>
      <c r="E38" s="14">
        <v>36.13998575553137</v>
      </c>
      <c r="F38" s="13">
        <v>630</v>
      </c>
      <c r="G38" s="33">
        <v>63.789792708040181</v>
      </c>
      <c r="H38" s="33">
        <v>62.04677944284942</v>
      </c>
      <c r="I38" s="34">
        <v>2</v>
      </c>
      <c r="J38" s="14">
        <v>62.831423318164248</v>
      </c>
    </row>
    <row r="39" spans="1:10" x14ac:dyDescent="0.2">
      <c r="A39" s="13">
        <v>800</v>
      </c>
      <c r="B39" s="33">
        <v>37.660052468903778</v>
      </c>
      <c r="C39" s="33">
        <v>37.931622246949836</v>
      </c>
      <c r="D39" s="34">
        <v>2</v>
      </c>
      <c r="E39" s="14">
        <v>37.793715003886518</v>
      </c>
      <c r="F39" s="13">
        <v>800</v>
      </c>
      <c r="G39" s="33">
        <v>67.624887731590121</v>
      </c>
      <c r="H39" s="33">
        <v>67.144615396016093</v>
      </c>
      <c r="I39" s="34">
        <v>2</v>
      </c>
      <c r="J39" s="14">
        <v>67.378115971889287</v>
      </c>
    </row>
    <row r="40" spans="1:10" x14ac:dyDescent="0.2">
      <c r="A40" s="13">
        <v>1000</v>
      </c>
      <c r="B40" s="33">
        <v>40.537589112574338</v>
      </c>
      <c r="C40" s="33">
        <v>40.20440516339162</v>
      </c>
      <c r="D40" s="34">
        <v>2</v>
      </c>
      <c r="E40" s="14">
        <v>40.367802752174107</v>
      </c>
      <c r="F40" s="13">
        <v>1000</v>
      </c>
      <c r="G40" s="33">
        <v>67.254076706620083</v>
      </c>
      <c r="H40" s="33">
        <v>66.890975869251974</v>
      </c>
      <c r="I40" s="34">
        <v>2</v>
      </c>
      <c r="J40" s="14">
        <v>67.068732668581561</v>
      </c>
    </row>
    <row r="41" spans="1:10" x14ac:dyDescent="0.2">
      <c r="A41" s="13">
        <v>1250</v>
      </c>
      <c r="B41" s="33">
        <v>42.780300044789705</v>
      </c>
      <c r="C41" s="33">
        <v>43.056216467656903</v>
      </c>
      <c r="D41" s="34">
        <v>2</v>
      </c>
      <c r="E41" s="14">
        <v>42.916067430773182</v>
      </c>
      <c r="F41" s="13">
        <v>1250</v>
      </c>
      <c r="G41" s="33">
        <v>68.863597205096085</v>
      </c>
      <c r="H41" s="33">
        <v>69.164703188035261</v>
      </c>
      <c r="I41" s="34">
        <v>2</v>
      </c>
      <c r="J41" s="14">
        <v>69.01154117597838</v>
      </c>
    </row>
    <row r="42" spans="1:10" x14ac:dyDescent="0.2">
      <c r="A42" s="13">
        <v>1600</v>
      </c>
      <c r="B42" s="33">
        <v>43.716823745909281</v>
      </c>
      <c r="C42" s="33">
        <v>43.89092211651996</v>
      </c>
      <c r="D42" s="34">
        <v>2</v>
      </c>
      <c r="E42" s="14">
        <v>43.803000590712287</v>
      </c>
      <c r="F42" s="13">
        <v>1600</v>
      </c>
      <c r="G42" s="33">
        <v>69.260280188366167</v>
      </c>
      <c r="H42" s="33">
        <v>68.095660688904218</v>
      </c>
      <c r="I42" s="34">
        <v>2</v>
      </c>
      <c r="J42" s="14">
        <v>68.639048290541893</v>
      </c>
    </row>
    <row r="43" spans="1:10" x14ac:dyDescent="0.2">
      <c r="A43" s="13">
        <v>2000</v>
      </c>
      <c r="B43" s="33">
        <v>45.676946833628278</v>
      </c>
      <c r="C43" s="33">
        <v>46.049068031768599</v>
      </c>
      <c r="D43" s="34">
        <v>2</v>
      </c>
      <c r="E43" s="14">
        <v>45.859023043867325</v>
      </c>
      <c r="F43" s="13">
        <v>2000</v>
      </c>
      <c r="G43" s="33">
        <v>69.878722151979687</v>
      </c>
      <c r="H43" s="33">
        <v>68.171688594124959</v>
      </c>
      <c r="I43" s="34">
        <v>2</v>
      </c>
      <c r="J43" s="14">
        <v>68.941869164155889</v>
      </c>
    </row>
    <row r="44" spans="1:10" x14ac:dyDescent="0.2">
      <c r="A44" s="13">
        <v>2500</v>
      </c>
      <c r="B44" s="33">
        <v>44.260454384146463</v>
      </c>
      <c r="C44" s="33">
        <v>46.618577621498922</v>
      </c>
      <c r="D44" s="34">
        <v>2</v>
      </c>
      <c r="E44" s="14">
        <v>45.281393218646855</v>
      </c>
      <c r="F44" s="13">
        <v>2500</v>
      </c>
      <c r="G44" s="33">
        <v>68.267850797972571</v>
      </c>
      <c r="H44" s="33">
        <v>68.318658957989385</v>
      </c>
      <c r="I44" s="34">
        <v>2</v>
      </c>
      <c r="J44" s="14">
        <v>68.293180577750661</v>
      </c>
    </row>
    <row r="45" spans="1:10" x14ac:dyDescent="0.2">
      <c r="A45" s="13">
        <v>3150</v>
      </c>
      <c r="B45" s="33">
        <v>40.903462055677977</v>
      </c>
      <c r="C45" s="33">
        <v>44.773150749836304</v>
      </c>
      <c r="D45" s="34">
        <v>2</v>
      </c>
      <c r="E45" s="14">
        <v>42.420851717285089</v>
      </c>
      <c r="F45" s="13">
        <v>3150</v>
      </c>
      <c r="G45" s="33">
        <v>64.164323244271216</v>
      </c>
      <c r="H45" s="33">
        <v>64.529688848201019</v>
      </c>
      <c r="I45" s="34">
        <v>2</v>
      </c>
      <c r="J45" s="14">
        <v>64.343164969449504</v>
      </c>
    </row>
    <row r="46" spans="1:10" x14ac:dyDescent="0.2">
      <c r="A46" s="13">
        <v>4000</v>
      </c>
      <c r="B46" s="33">
        <v>44.872106536791428</v>
      </c>
      <c r="C46" s="33">
        <v>46.21715127535014</v>
      </c>
      <c r="D46" s="34">
        <v>2</v>
      </c>
      <c r="E46" s="14">
        <v>45.492764305923508</v>
      </c>
      <c r="F46" s="13">
        <v>4000</v>
      </c>
      <c r="G46" s="33">
        <v>64.265607839176198</v>
      </c>
      <c r="H46" s="33">
        <v>64.238308316111599</v>
      </c>
      <c r="I46" s="34">
        <v>2</v>
      </c>
      <c r="J46" s="14">
        <v>64.251936627258175</v>
      </c>
    </row>
    <row r="47" spans="1:10" x14ac:dyDescent="0.2">
      <c r="A47" s="15">
        <v>5000</v>
      </c>
      <c r="B47" s="23">
        <v>47.682798134204852</v>
      </c>
      <c r="C47" s="23">
        <v>48.899204825733754</v>
      </c>
      <c r="D47" s="24">
        <v>2</v>
      </c>
      <c r="E47" s="17">
        <v>48.248552349835869</v>
      </c>
      <c r="F47" s="15">
        <v>5000</v>
      </c>
      <c r="G47" s="23">
        <v>64.110184601465818</v>
      </c>
      <c r="H47" s="23">
        <v>62.767946270314987</v>
      </c>
      <c r="I47" s="24">
        <v>2</v>
      </c>
      <c r="J47" s="17">
        <v>63.387416185734608</v>
      </c>
    </row>
  </sheetData>
  <mergeCells count="5">
    <mergeCell ref="A1:E1"/>
    <mergeCell ref="F1:J1"/>
    <mergeCell ref="K1:O1"/>
    <mergeCell ref="A25:E25"/>
    <mergeCell ref="F25:J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4657-BA09-7348-8E35-1EAD9151DAAA}">
  <dimension ref="A1:O47"/>
  <sheetViews>
    <sheetView showGridLines="0" workbookViewId="0">
      <selection activeCell="N38" sqref="N38"/>
    </sheetView>
  </sheetViews>
  <sheetFormatPr baseColWidth="10" defaultRowHeight="16" x14ac:dyDescent="0.2"/>
  <sheetData>
    <row r="1" spans="1:15" x14ac:dyDescent="0.2">
      <c r="A1" s="172" t="s">
        <v>42</v>
      </c>
      <c r="B1" s="173"/>
      <c r="C1" s="173"/>
      <c r="D1" s="173"/>
      <c r="E1" s="174"/>
      <c r="F1" s="172" t="s">
        <v>43</v>
      </c>
      <c r="G1" s="173"/>
      <c r="H1" s="173"/>
      <c r="I1" s="173"/>
      <c r="J1" s="174"/>
      <c r="K1" s="172" t="s">
        <v>44</v>
      </c>
      <c r="L1" s="173"/>
      <c r="M1" s="173"/>
      <c r="N1" s="173"/>
      <c r="O1" s="174"/>
    </row>
    <row r="2" spans="1:15" ht="29" customHeight="1" x14ac:dyDescent="0.2">
      <c r="A2" s="28"/>
      <c r="B2" s="29"/>
      <c r="C2" s="29"/>
      <c r="D2" s="29"/>
      <c r="E2" s="30"/>
      <c r="F2" s="28"/>
      <c r="G2" s="29"/>
      <c r="H2" s="29"/>
      <c r="I2" s="29"/>
      <c r="J2" s="30"/>
      <c r="K2" s="28"/>
      <c r="L2" s="29"/>
      <c r="M2" s="29"/>
      <c r="N2" s="29"/>
      <c r="O2" s="30"/>
    </row>
    <row r="3" spans="1:15" x14ac:dyDescent="0.2">
      <c r="A3" s="77">
        <v>50</v>
      </c>
      <c r="B3" s="55">
        <v>25.098604186533116</v>
      </c>
      <c r="C3" s="55">
        <v>28.226199503465224</v>
      </c>
      <c r="D3" s="86">
        <v>2</v>
      </c>
      <c r="E3" s="87">
        <v>26.386739075754321</v>
      </c>
      <c r="F3" s="13">
        <v>50</v>
      </c>
      <c r="G3" s="33">
        <v>12.970103885653055</v>
      </c>
      <c r="H3" s="33">
        <v>21.40471545920385</v>
      </c>
      <c r="I3" s="34">
        <v>2</v>
      </c>
      <c r="J3" s="14">
        <v>15.398434892059846</v>
      </c>
      <c r="K3" s="13">
        <v>50</v>
      </c>
      <c r="L3" s="33">
        <v>24.578704981361604</v>
      </c>
      <c r="M3" s="33">
        <v>20.621220469618656</v>
      </c>
      <c r="N3" s="34">
        <v>2</v>
      </c>
      <c r="O3" s="14">
        <v>22.163967183657043</v>
      </c>
    </row>
    <row r="4" spans="1:15" x14ac:dyDescent="0.2">
      <c r="A4" s="13">
        <v>63</v>
      </c>
      <c r="B4" s="33">
        <v>38.288935485080046</v>
      </c>
      <c r="C4" s="33">
        <v>44.043615925930439</v>
      </c>
      <c r="D4" s="34">
        <v>2</v>
      </c>
      <c r="E4" s="14">
        <v>40.275632867501514</v>
      </c>
      <c r="F4" s="13">
        <v>63</v>
      </c>
      <c r="G4" s="33">
        <v>10.546122952334022</v>
      </c>
      <c r="H4" s="33">
        <v>33.127594231403741</v>
      </c>
      <c r="I4" s="34">
        <v>2</v>
      </c>
      <c r="J4" s="14">
        <v>13.532520508680809</v>
      </c>
      <c r="K4" s="13">
        <v>63</v>
      </c>
      <c r="L4" s="33">
        <v>25.002350754347162</v>
      </c>
      <c r="M4" s="33">
        <v>34.648924232855343</v>
      </c>
      <c r="N4" s="34">
        <v>2</v>
      </c>
      <c r="O4" s="14">
        <v>27.565378968599688</v>
      </c>
    </row>
    <row r="5" spans="1:15" x14ac:dyDescent="0.2">
      <c r="A5" s="13">
        <v>80</v>
      </c>
      <c r="B5" s="33">
        <v>31.599596219227458</v>
      </c>
      <c r="C5" s="33">
        <v>44.434647442669402</v>
      </c>
      <c r="D5" s="34">
        <v>2</v>
      </c>
      <c r="E5" s="14">
        <v>34.389495683364373</v>
      </c>
      <c r="F5" s="13">
        <v>80</v>
      </c>
      <c r="G5" s="33">
        <v>9.1104073597529176</v>
      </c>
      <c r="H5" s="33">
        <v>17.586515776998205</v>
      </c>
      <c r="I5" s="34">
        <v>2</v>
      </c>
      <c r="J5" s="14">
        <v>11.543920909275528</v>
      </c>
      <c r="K5" s="13">
        <v>80</v>
      </c>
      <c r="L5" s="33">
        <v>24.271901237822711</v>
      </c>
      <c r="M5" s="33">
        <v>32.923651568124662</v>
      </c>
      <c r="N5" s="34">
        <v>2</v>
      </c>
      <c r="O5" s="14">
        <v>26.726876224853861</v>
      </c>
    </row>
    <row r="6" spans="1:15" x14ac:dyDescent="0.2">
      <c r="A6" s="13">
        <v>100</v>
      </c>
      <c r="B6" s="33">
        <v>34.379872031088041</v>
      </c>
      <c r="C6" s="33">
        <v>43.563897018502644</v>
      </c>
      <c r="D6" s="34">
        <v>2</v>
      </c>
      <c r="E6" s="14">
        <v>36.89539647669875</v>
      </c>
      <c r="F6" s="13">
        <v>100</v>
      </c>
      <c r="G6" s="33">
        <v>19.22927340418028</v>
      </c>
      <c r="H6" s="33">
        <v>23.178532034583714</v>
      </c>
      <c r="I6" s="34">
        <v>2</v>
      </c>
      <c r="J6" s="14">
        <v>20.769659792153679</v>
      </c>
      <c r="K6" s="13">
        <v>100</v>
      </c>
      <c r="L6" s="33">
        <v>23.645878115390619</v>
      </c>
      <c r="M6" s="33">
        <v>33.243032050421903</v>
      </c>
      <c r="N6" s="34">
        <v>2</v>
      </c>
      <c r="O6" s="14">
        <v>26.204045118953452</v>
      </c>
    </row>
    <row r="7" spans="1:15" x14ac:dyDescent="0.2">
      <c r="A7" s="13">
        <v>125</v>
      </c>
      <c r="B7" s="33">
        <v>32.094454124109724</v>
      </c>
      <c r="C7" s="33">
        <v>33.458977814103307</v>
      </c>
      <c r="D7" s="34">
        <v>2</v>
      </c>
      <c r="E7" s="14">
        <v>32.723344452426687</v>
      </c>
      <c r="F7" s="13">
        <v>125</v>
      </c>
      <c r="G7" s="33">
        <v>15.782085374848357</v>
      </c>
      <c r="H7" s="33">
        <v>23.416849596593799</v>
      </c>
      <c r="I7" s="34">
        <v>2</v>
      </c>
      <c r="J7" s="14">
        <v>18.101647355214869</v>
      </c>
      <c r="K7" s="13">
        <v>125</v>
      </c>
      <c r="L7" s="33">
        <v>20.453164662784324</v>
      </c>
      <c r="M7" s="33">
        <v>34.590365693508978</v>
      </c>
      <c r="N7" s="34">
        <v>2</v>
      </c>
      <c r="O7" s="14">
        <v>23.299095647274157</v>
      </c>
    </row>
    <row r="8" spans="1:15" x14ac:dyDescent="0.2">
      <c r="A8" s="13">
        <v>160</v>
      </c>
      <c r="B8" s="33">
        <v>36.792149717946963</v>
      </c>
      <c r="C8" s="33">
        <v>39.027121097369331</v>
      </c>
      <c r="D8" s="34">
        <v>2</v>
      </c>
      <c r="E8" s="14">
        <v>37.767423974680554</v>
      </c>
      <c r="F8" s="13">
        <v>160</v>
      </c>
      <c r="G8" s="33">
        <v>16.924067409787593</v>
      </c>
      <c r="H8" s="33">
        <v>19.52711824953651</v>
      </c>
      <c r="I8" s="34">
        <v>2</v>
      </c>
      <c r="J8" s="14">
        <v>18.033418728375604</v>
      </c>
      <c r="K8" s="13">
        <v>160</v>
      </c>
      <c r="L8" s="33">
        <v>23.369297339966092</v>
      </c>
      <c r="M8" s="33">
        <v>29.51963116790753</v>
      </c>
      <c r="N8" s="34">
        <v>2</v>
      </c>
      <c r="O8" s="14">
        <v>25.436135764336747</v>
      </c>
    </row>
    <row r="9" spans="1:15" x14ac:dyDescent="0.2">
      <c r="A9" s="13">
        <v>200</v>
      </c>
      <c r="B9" s="33">
        <v>40.881967845384672</v>
      </c>
      <c r="C9" s="33">
        <v>38.643127794057584</v>
      </c>
      <c r="D9" s="34">
        <v>2</v>
      </c>
      <c r="E9" s="14">
        <v>39.619848959450536</v>
      </c>
      <c r="F9" s="13">
        <v>200</v>
      </c>
      <c r="G9" s="33">
        <v>16.902917411766985</v>
      </c>
      <c r="H9" s="33">
        <v>13.660567183224453</v>
      </c>
      <c r="I9" s="34">
        <v>2</v>
      </c>
      <c r="J9" s="14">
        <v>14.985935281026791</v>
      </c>
      <c r="K9" s="13">
        <v>200</v>
      </c>
      <c r="L9" s="33">
        <v>28.2167473277459</v>
      </c>
      <c r="M9" s="33">
        <v>39.190211081714033</v>
      </c>
      <c r="N9" s="34">
        <v>2</v>
      </c>
      <c r="O9" s="14">
        <v>30.893132810601486</v>
      </c>
    </row>
    <row r="10" spans="1:15" x14ac:dyDescent="0.2">
      <c r="A10" s="13">
        <v>250</v>
      </c>
      <c r="B10" s="33">
        <v>45.063682968411037</v>
      </c>
      <c r="C10" s="33">
        <v>41.07213745136054</v>
      </c>
      <c r="D10" s="34">
        <v>2</v>
      </c>
      <c r="E10" s="14">
        <v>42.62462370965941</v>
      </c>
      <c r="F10" s="13">
        <v>250</v>
      </c>
      <c r="G10" s="33">
        <v>19.06103808553987</v>
      </c>
      <c r="H10" s="33">
        <v>11.076442707103174</v>
      </c>
      <c r="I10" s="34">
        <v>2</v>
      </c>
      <c r="J10" s="14">
        <v>13.445711634898991</v>
      </c>
      <c r="K10" s="13">
        <v>250</v>
      </c>
      <c r="L10" s="33">
        <v>29.752845737855047</v>
      </c>
      <c r="M10" s="33">
        <v>37.853757465147545</v>
      </c>
      <c r="N10" s="34">
        <v>2</v>
      </c>
      <c r="O10" s="14">
        <v>32.137893102151665</v>
      </c>
    </row>
    <row r="11" spans="1:15" x14ac:dyDescent="0.2">
      <c r="A11" s="13">
        <v>315</v>
      </c>
      <c r="B11" s="33">
        <v>41.196848429229483</v>
      </c>
      <c r="C11" s="33">
        <v>39.381987106581001</v>
      </c>
      <c r="D11" s="34">
        <v>2</v>
      </c>
      <c r="E11" s="14">
        <v>40.19529870780751</v>
      </c>
      <c r="F11" s="13">
        <v>315</v>
      </c>
      <c r="G11" s="33">
        <v>17.971162363557976</v>
      </c>
      <c r="H11" s="33">
        <v>17.62194277667302</v>
      </c>
      <c r="I11" s="34">
        <v>2</v>
      </c>
      <c r="J11" s="14">
        <v>17.793043387892556</v>
      </c>
      <c r="K11" s="13">
        <v>315</v>
      </c>
      <c r="L11" s="33">
        <v>28.24027333243242</v>
      </c>
      <c r="M11" s="33">
        <v>32.180353790902032</v>
      </c>
      <c r="N11" s="34">
        <v>2</v>
      </c>
      <c r="O11" s="14">
        <v>29.778022380629302</v>
      </c>
    </row>
    <row r="12" spans="1:15" x14ac:dyDescent="0.2">
      <c r="A12" s="13">
        <v>400</v>
      </c>
      <c r="B12" s="33">
        <v>40.614086869230178</v>
      </c>
      <c r="C12" s="33">
        <v>41.019873007358804</v>
      </c>
      <c r="D12" s="34">
        <v>2</v>
      </c>
      <c r="E12" s="14">
        <v>40.812242296727035</v>
      </c>
      <c r="F12" s="13">
        <v>400</v>
      </c>
      <c r="G12" s="33">
        <v>25.785204890512073</v>
      </c>
      <c r="H12" s="33">
        <v>20.192204584444024</v>
      </c>
      <c r="I12" s="34">
        <v>2</v>
      </c>
      <c r="J12" s="14">
        <v>22.144450024576038</v>
      </c>
      <c r="K12" s="13">
        <v>400</v>
      </c>
      <c r="L12" s="33">
        <v>27.487814827480019</v>
      </c>
      <c r="M12" s="33">
        <v>35.277421937624958</v>
      </c>
      <c r="N12" s="34">
        <v>2</v>
      </c>
      <c r="O12" s="14">
        <v>29.829802336850392</v>
      </c>
    </row>
    <row r="13" spans="1:15" x14ac:dyDescent="0.2">
      <c r="A13" s="13">
        <v>500</v>
      </c>
      <c r="B13" s="33">
        <v>42.541698650489622</v>
      </c>
      <c r="C13" s="33">
        <v>42.697234256077444</v>
      </c>
      <c r="D13" s="34">
        <v>2</v>
      </c>
      <c r="E13" s="14">
        <v>42.618770208198114</v>
      </c>
      <c r="F13" s="13">
        <v>500</v>
      </c>
      <c r="G13" s="33">
        <v>25.05303566509297</v>
      </c>
      <c r="H13" s="33">
        <v>22.138761811915323</v>
      </c>
      <c r="I13" s="34">
        <v>2</v>
      </c>
      <c r="J13" s="14">
        <v>23.355903987534511</v>
      </c>
      <c r="K13" s="13">
        <v>500</v>
      </c>
      <c r="L13" s="33">
        <v>30.821427773054062</v>
      </c>
      <c r="M13" s="33">
        <v>35.33558385277221</v>
      </c>
      <c r="N13" s="34">
        <v>2</v>
      </c>
      <c r="O13" s="14">
        <v>32.516635821621506</v>
      </c>
    </row>
    <row r="14" spans="1:15" x14ac:dyDescent="0.2">
      <c r="A14" s="13">
        <v>630</v>
      </c>
      <c r="B14" s="33">
        <v>47.265236135044368</v>
      </c>
      <c r="C14" s="33">
        <v>48.089875784494701</v>
      </c>
      <c r="D14" s="34">
        <v>2</v>
      </c>
      <c r="E14" s="14">
        <v>47.658012440402366</v>
      </c>
      <c r="F14" s="13">
        <v>630</v>
      </c>
      <c r="G14" s="33">
        <v>25.147401289638591</v>
      </c>
      <c r="H14" s="33">
        <v>24.085824675311041</v>
      </c>
      <c r="I14" s="34">
        <v>2</v>
      </c>
      <c r="J14" s="14">
        <v>24.584257332057259</v>
      </c>
      <c r="K14" s="13">
        <v>630</v>
      </c>
      <c r="L14" s="33">
        <v>28.677666386807299</v>
      </c>
      <c r="M14" s="33">
        <v>38.802974936746089</v>
      </c>
      <c r="N14" s="34">
        <v>2</v>
      </c>
      <c r="O14" s="14">
        <v>31.285282944841338</v>
      </c>
    </row>
    <row r="15" spans="1:15" x14ac:dyDescent="0.2">
      <c r="A15" s="13">
        <v>800</v>
      </c>
      <c r="B15" s="33">
        <v>50.128066205739515</v>
      </c>
      <c r="C15" s="33">
        <v>49.371353716813246</v>
      </c>
      <c r="D15" s="34">
        <v>2</v>
      </c>
      <c r="E15" s="14">
        <v>49.73324961768256</v>
      </c>
      <c r="F15" s="13">
        <v>800</v>
      </c>
      <c r="G15" s="33">
        <v>27.707934201864209</v>
      </c>
      <c r="H15" s="33">
        <v>24.114936077342694</v>
      </c>
      <c r="I15" s="34">
        <v>2</v>
      </c>
      <c r="J15" s="14">
        <v>25.550003002904262</v>
      </c>
      <c r="K15" s="13">
        <v>800</v>
      </c>
      <c r="L15" s="33">
        <v>31.844883694412236</v>
      </c>
      <c r="M15" s="33">
        <v>41.184641106099654</v>
      </c>
      <c r="N15" s="34">
        <v>2</v>
      </c>
      <c r="O15" s="14">
        <v>34.376911049800128</v>
      </c>
    </row>
    <row r="16" spans="1:15" x14ac:dyDescent="0.2">
      <c r="A16" s="13">
        <v>1000</v>
      </c>
      <c r="B16" s="33">
        <v>52.200954266734207</v>
      </c>
      <c r="C16" s="33">
        <v>50.898080449970585</v>
      </c>
      <c r="D16" s="34">
        <v>2</v>
      </c>
      <c r="E16" s="14">
        <v>51.500842072069617</v>
      </c>
      <c r="F16" s="13">
        <v>1000</v>
      </c>
      <c r="G16" s="33">
        <v>27.844745956684232</v>
      </c>
      <c r="H16" s="33">
        <v>23.226630976301134</v>
      </c>
      <c r="I16" s="34">
        <v>2</v>
      </c>
      <c r="J16" s="14">
        <v>24.948760240628044</v>
      </c>
      <c r="K16" s="13">
        <v>1000</v>
      </c>
      <c r="L16" s="33">
        <v>33.788992268539239</v>
      </c>
      <c r="M16" s="33">
        <v>42.097523428644642</v>
      </c>
      <c r="N16" s="34">
        <v>2</v>
      </c>
      <c r="O16" s="14">
        <v>36.201308977799115</v>
      </c>
    </row>
    <row r="17" spans="1:15" x14ac:dyDescent="0.2">
      <c r="A17" s="13">
        <v>1250</v>
      </c>
      <c r="B17" s="33">
        <v>50.760382130664588</v>
      </c>
      <c r="C17" s="33">
        <v>49.618343680816778</v>
      </c>
      <c r="D17" s="34">
        <v>2</v>
      </c>
      <c r="E17" s="14">
        <v>50.151931185230943</v>
      </c>
      <c r="F17" s="13">
        <v>1250</v>
      </c>
      <c r="G17" s="33">
        <v>26.83839565539218</v>
      </c>
      <c r="H17" s="33">
        <v>23.508541798709647</v>
      </c>
      <c r="I17" s="34">
        <v>2</v>
      </c>
      <c r="J17" s="14">
        <v>24.861856342746712</v>
      </c>
      <c r="K17" s="13">
        <v>1250</v>
      </c>
      <c r="L17" s="33">
        <v>34.538865168202946</v>
      </c>
      <c r="M17" s="33">
        <v>43.625290324608528</v>
      </c>
      <c r="N17" s="34">
        <v>2</v>
      </c>
      <c r="O17" s="14">
        <v>37.043774435851816</v>
      </c>
    </row>
    <row r="18" spans="1:15" x14ac:dyDescent="0.2">
      <c r="A18" s="13">
        <v>1600</v>
      </c>
      <c r="B18" s="33">
        <v>51.890913327831477</v>
      </c>
      <c r="C18" s="33">
        <v>50.434317104033802</v>
      </c>
      <c r="D18" s="34">
        <v>2</v>
      </c>
      <c r="E18" s="14">
        <v>51.101832664252655</v>
      </c>
      <c r="F18" s="13">
        <v>1600</v>
      </c>
      <c r="G18" s="33">
        <v>27.196575672941787</v>
      </c>
      <c r="H18" s="33">
        <v>23.79173908271461</v>
      </c>
      <c r="I18" s="34">
        <v>2</v>
      </c>
      <c r="J18" s="14">
        <v>25.168697316264215</v>
      </c>
      <c r="K18" s="13">
        <v>1600</v>
      </c>
      <c r="L18" s="33">
        <v>35.490539325101423</v>
      </c>
      <c r="M18" s="33">
        <v>44.037747511986097</v>
      </c>
      <c r="N18" s="34">
        <v>2</v>
      </c>
      <c r="O18" s="14">
        <v>37.93283232789063</v>
      </c>
    </row>
    <row r="19" spans="1:15" x14ac:dyDescent="0.2">
      <c r="A19" s="13">
        <v>2000</v>
      </c>
      <c r="B19" s="33">
        <v>51.214360820570683</v>
      </c>
      <c r="C19" s="33">
        <v>49.666199383787593</v>
      </c>
      <c r="D19" s="34">
        <v>2</v>
      </c>
      <c r="E19" s="14">
        <v>50.37165674484207</v>
      </c>
      <c r="F19" s="13">
        <v>2000</v>
      </c>
      <c r="G19" s="33">
        <v>23.648595639022563</v>
      </c>
      <c r="H19" s="33">
        <v>22.426499587782249</v>
      </c>
      <c r="I19" s="34">
        <v>2</v>
      </c>
      <c r="J19" s="14">
        <v>22.994701773494409</v>
      </c>
      <c r="K19" s="13">
        <v>2000</v>
      </c>
      <c r="L19" s="33">
        <v>36.981523852113774</v>
      </c>
      <c r="M19" s="33">
        <v>44.753301309217655</v>
      </c>
      <c r="N19" s="34">
        <v>2</v>
      </c>
      <c r="O19" s="14">
        <v>39.320963854740199</v>
      </c>
    </row>
    <row r="20" spans="1:15" x14ac:dyDescent="0.2">
      <c r="A20" s="13">
        <v>2500</v>
      </c>
      <c r="B20" s="33">
        <v>46.628162258463888</v>
      </c>
      <c r="C20" s="33">
        <v>44.991619436750305</v>
      </c>
      <c r="D20" s="34">
        <v>2</v>
      </c>
      <c r="E20" s="14">
        <v>45.733255794451793</v>
      </c>
      <c r="F20" s="13">
        <v>2500</v>
      </c>
      <c r="G20" s="33">
        <v>19.563242877710653</v>
      </c>
      <c r="H20" s="33">
        <v>20.523963965155676</v>
      </c>
      <c r="I20" s="34">
        <v>2</v>
      </c>
      <c r="J20" s="14">
        <v>20.017091768414694</v>
      </c>
      <c r="K20" s="13">
        <v>2500</v>
      </c>
      <c r="L20" s="33">
        <v>36.087260225264458</v>
      </c>
      <c r="M20" s="33">
        <v>44.283893847973609</v>
      </c>
      <c r="N20" s="34">
        <v>2</v>
      </c>
      <c r="O20" s="14">
        <v>38.485020736186129</v>
      </c>
    </row>
    <row r="21" spans="1:15" x14ac:dyDescent="0.2">
      <c r="A21" s="13">
        <v>3150</v>
      </c>
      <c r="B21" s="33">
        <v>42.509359645933436</v>
      </c>
      <c r="C21" s="33">
        <v>40.714179435803125</v>
      </c>
      <c r="D21" s="34">
        <v>2</v>
      </c>
      <c r="E21" s="14">
        <v>41.519666514978084</v>
      </c>
      <c r="F21" s="13">
        <v>3150</v>
      </c>
      <c r="G21" s="33">
        <v>21.354522407353894</v>
      </c>
      <c r="H21" s="33">
        <v>17.944913879377093</v>
      </c>
      <c r="I21" s="34">
        <v>2</v>
      </c>
      <c r="J21" s="14">
        <v>19.323367360559345</v>
      </c>
      <c r="K21" s="13">
        <v>3150</v>
      </c>
      <c r="L21" s="33">
        <v>34.02520397429209</v>
      </c>
      <c r="M21" s="33">
        <v>41.216201158792352</v>
      </c>
      <c r="N21" s="34">
        <v>2</v>
      </c>
      <c r="O21" s="14">
        <v>36.276599717433513</v>
      </c>
    </row>
    <row r="22" spans="1:15" x14ac:dyDescent="0.2">
      <c r="A22" s="13">
        <v>4000</v>
      </c>
      <c r="B22" s="33">
        <v>43.686869693459229</v>
      </c>
      <c r="C22" s="33">
        <v>42.642950178620282</v>
      </c>
      <c r="D22" s="34">
        <v>2</v>
      </c>
      <c r="E22" s="14">
        <v>43.133619115030719</v>
      </c>
      <c r="F22" s="13">
        <v>4000</v>
      </c>
      <c r="G22" s="33">
        <v>23.87867400739621</v>
      </c>
      <c r="H22" s="33">
        <v>19.379750486385074</v>
      </c>
      <c r="I22" s="34">
        <v>2</v>
      </c>
      <c r="J22" s="14">
        <v>21.07097369709021</v>
      </c>
      <c r="K22" s="13">
        <v>4000</v>
      </c>
      <c r="L22" s="33">
        <v>34.541194718561954</v>
      </c>
      <c r="M22" s="33">
        <v>42.921618920229562</v>
      </c>
      <c r="N22" s="34">
        <v>2</v>
      </c>
      <c r="O22" s="14">
        <v>36.962692739026778</v>
      </c>
    </row>
    <row r="23" spans="1:15" x14ac:dyDescent="0.2">
      <c r="A23" s="15">
        <v>5000</v>
      </c>
      <c r="B23" s="23">
        <v>48.64059499547006</v>
      </c>
      <c r="C23" s="23">
        <v>48.006119233881819</v>
      </c>
      <c r="D23" s="24">
        <v>2</v>
      </c>
      <c r="E23" s="17">
        <v>48.31178081047355</v>
      </c>
      <c r="F23" s="15">
        <v>5000</v>
      </c>
      <c r="G23" s="23">
        <v>24.508081153689435</v>
      </c>
      <c r="H23" s="23">
        <v>21.758217398604874</v>
      </c>
      <c r="I23" s="24">
        <v>2</v>
      </c>
      <c r="J23" s="17">
        <v>22.919046006564781</v>
      </c>
      <c r="K23" s="15">
        <v>5000</v>
      </c>
      <c r="L23" s="23">
        <v>37.691206337757649</v>
      </c>
      <c r="M23" s="23">
        <v>46.047484874981436</v>
      </c>
      <c r="N23" s="24">
        <v>2</v>
      </c>
      <c r="O23" s="17">
        <v>40.109635541586492</v>
      </c>
    </row>
    <row r="25" spans="1:15" x14ac:dyDescent="0.2">
      <c r="A25" s="172" t="s">
        <v>45</v>
      </c>
      <c r="B25" s="173"/>
      <c r="C25" s="173"/>
      <c r="D25" s="173"/>
      <c r="E25" s="174"/>
      <c r="F25" s="172" t="s">
        <v>46</v>
      </c>
      <c r="G25" s="173"/>
      <c r="H25" s="173"/>
      <c r="I25" s="173"/>
      <c r="J25" s="174"/>
    </row>
    <row r="26" spans="1:15" ht="28" customHeight="1" x14ac:dyDescent="0.2">
      <c r="A26" s="28"/>
      <c r="B26" s="29"/>
      <c r="C26" s="29"/>
      <c r="D26" s="29"/>
      <c r="E26" s="30"/>
      <c r="F26" s="28"/>
      <c r="G26" s="29"/>
      <c r="H26" s="29"/>
      <c r="I26" s="29"/>
      <c r="J26" s="30"/>
    </row>
    <row r="27" spans="1:15" x14ac:dyDescent="0.2">
      <c r="A27" s="13">
        <v>50</v>
      </c>
      <c r="B27" s="33">
        <v>27.168537607803295</v>
      </c>
      <c r="C27" s="33">
        <v>24.212226788720464</v>
      </c>
      <c r="D27" s="34">
        <v>2</v>
      </c>
      <c r="E27" s="14">
        <v>25.443543099186559</v>
      </c>
      <c r="F27" s="13">
        <v>50</v>
      </c>
      <c r="G27" s="33">
        <v>38.594062276863646</v>
      </c>
      <c r="H27" s="33">
        <v>39.613143475437774</v>
      </c>
      <c r="I27" s="34">
        <v>2</v>
      </c>
      <c r="J27" s="14">
        <v>39.073780007701046</v>
      </c>
    </row>
    <row r="28" spans="1:15" x14ac:dyDescent="0.2">
      <c r="A28" s="13">
        <v>63</v>
      </c>
      <c r="B28" s="33">
        <v>34.360574451596904</v>
      </c>
      <c r="C28" s="33">
        <v>27.681195800808162</v>
      </c>
      <c r="D28" s="34">
        <v>2</v>
      </c>
      <c r="E28" s="14">
        <v>29.846398665572362</v>
      </c>
      <c r="F28" s="13">
        <v>63</v>
      </c>
      <c r="G28" s="33">
        <v>53.627592837600695</v>
      </c>
      <c r="H28" s="33">
        <v>44.945647964072492</v>
      </c>
      <c r="I28" s="34">
        <v>2</v>
      </c>
      <c r="J28" s="14">
        <v>47.404236157159474</v>
      </c>
    </row>
    <row r="29" spans="1:15" x14ac:dyDescent="0.2">
      <c r="A29" s="13">
        <v>80</v>
      </c>
      <c r="B29" s="33">
        <v>28.102637087073369</v>
      </c>
      <c r="C29" s="33">
        <v>25.345571431464798</v>
      </c>
      <c r="D29" s="34">
        <v>2</v>
      </c>
      <c r="E29" s="14">
        <v>26.508896233605938</v>
      </c>
      <c r="F29" s="13">
        <v>80</v>
      </c>
      <c r="G29" s="33">
        <v>45.149254445786546</v>
      </c>
      <c r="H29" s="33">
        <v>42.517135512144506</v>
      </c>
      <c r="I29" s="34">
        <v>2</v>
      </c>
      <c r="J29" s="14">
        <v>43.636768840487946</v>
      </c>
    </row>
    <row r="30" spans="1:15" x14ac:dyDescent="0.2">
      <c r="A30" s="13">
        <v>100</v>
      </c>
      <c r="B30" s="33">
        <v>30.509774480107989</v>
      </c>
      <c r="C30" s="33">
        <v>32.825519489087604</v>
      </c>
      <c r="D30" s="34">
        <v>2</v>
      </c>
      <c r="E30" s="14">
        <v>31.515091421325494</v>
      </c>
      <c r="F30" s="13">
        <v>100</v>
      </c>
      <c r="G30" s="33">
        <v>46.95160248614593</v>
      </c>
      <c r="H30" s="33">
        <v>34.146195562263429</v>
      </c>
      <c r="I30" s="34">
        <v>2</v>
      </c>
      <c r="J30" s="14">
        <v>36.934623373146579</v>
      </c>
    </row>
    <row r="31" spans="1:15" x14ac:dyDescent="0.2">
      <c r="A31" s="13">
        <v>125</v>
      </c>
      <c r="B31" s="33">
        <v>23.988297509985777</v>
      </c>
      <c r="C31" s="33">
        <v>32.54770816799055</v>
      </c>
      <c r="D31" s="34">
        <v>2</v>
      </c>
      <c r="E31" s="14">
        <v>26.4320846517635</v>
      </c>
      <c r="F31" s="13">
        <v>125</v>
      </c>
      <c r="G31" s="33">
        <v>44.338976617802487</v>
      </c>
      <c r="H31" s="33">
        <v>38.559978069137408</v>
      </c>
      <c r="I31" s="34">
        <v>2</v>
      </c>
      <c r="J31" s="14">
        <v>40.551770412549487</v>
      </c>
    </row>
    <row r="32" spans="1:15" x14ac:dyDescent="0.2">
      <c r="A32" s="13">
        <v>160</v>
      </c>
      <c r="B32" s="33">
        <v>28.610290992604416</v>
      </c>
      <c r="C32" s="33">
        <v>35.344197182984118</v>
      </c>
      <c r="D32" s="34">
        <v>2</v>
      </c>
      <c r="E32" s="14">
        <v>30.785086192236228</v>
      </c>
      <c r="F32" s="13">
        <v>160</v>
      </c>
      <c r="G32" s="33">
        <v>49.008693550550397</v>
      </c>
      <c r="H32" s="33">
        <v>48.870982311282901</v>
      </c>
      <c r="I32" s="34">
        <v>2</v>
      </c>
      <c r="J32" s="14">
        <v>48.939292114893277</v>
      </c>
    </row>
    <row r="33" spans="1:10" x14ac:dyDescent="0.2">
      <c r="A33" s="13">
        <v>200</v>
      </c>
      <c r="B33" s="33">
        <v>35.007251828203813</v>
      </c>
      <c r="C33" s="33">
        <v>33.069692193522449</v>
      </c>
      <c r="D33" s="34">
        <v>2</v>
      </c>
      <c r="E33" s="14">
        <v>33.931303658254834</v>
      </c>
      <c r="F33" s="13">
        <v>200</v>
      </c>
      <c r="G33" s="33">
        <v>55.041894609164892</v>
      </c>
      <c r="H33" s="33">
        <v>50.425916809569856</v>
      </c>
      <c r="I33" s="34">
        <v>2</v>
      </c>
      <c r="J33" s="14">
        <v>52.147497428013239</v>
      </c>
    </row>
    <row r="34" spans="1:10" x14ac:dyDescent="0.2">
      <c r="A34" s="13">
        <v>250</v>
      </c>
      <c r="B34" s="33">
        <v>35.604825154846033</v>
      </c>
      <c r="C34" s="33">
        <v>30.900522902137361</v>
      </c>
      <c r="D34" s="34">
        <v>2</v>
      </c>
      <c r="E34" s="14">
        <v>32.644611027611667</v>
      </c>
      <c r="F34" s="13">
        <v>250</v>
      </c>
      <c r="G34" s="33">
        <v>57.10153039055993</v>
      </c>
      <c r="H34" s="33">
        <v>55.237975724819272</v>
      </c>
      <c r="I34" s="34">
        <v>2</v>
      </c>
      <c r="J34" s="14">
        <v>56.070554376235847</v>
      </c>
    </row>
    <row r="35" spans="1:10" x14ac:dyDescent="0.2">
      <c r="A35" s="13">
        <v>315</v>
      </c>
      <c r="B35" s="33">
        <v>29.533208366570445</v>
      </c>
      <c r="C35" s="33">
        <v>32.480012844254375</v>
      </c>
      <c r="D35" s="34">
        <v>2</v>
      </c>
      <c r="E35" s="14">
        <v>30.761327258536252</v>
      </c>
      <c r="F35" s="13">
        <v>315</v>
      </c>
      <c r="G35" s="33">
        <v>56.122770316004861</v>
      </c>
      <c r="H35" s="33">
        <v>52.991035715057869</v>
      </c>
      <c r="I35" s="34">
        <v>2</v>
      </c>
      <c r="J35" s="14">
        <v>54.280525200838483</v>
      </c>
    </row>
    <row r="36" spans="1:10" x14ac:dyDescent="0.2">
      <c r="A36" s="13">
        <v>400</v>
      </c>
      <c r="B36" s="33">
        <v>34.329917024563052</v>
      </c>
      <c r="C36" s="33">
        <v>32.634439490998524</v>
      </c>
      <c r="D36" s="34">
        <v>2</v>
      </c>
      <c r="E36" s="14">
        <v>33.399959501794832</v>
      </c>
      <c r="F36" s="13">
        <v>400</v>
      </c>
      <c r="G36" s="33">
        <v>57.560675107801593</v>
      </c>
      <c r="H36" s="33">
        <v>55.974371059582531</v>
      </c>
      <c r="I36" s="34">
        <v>2</v>
      </c>
      <c r="J36" s="14">
        <v>56.695495476899566</v>
      </c>
    </row>
    <row r="37" spans="1:10" x14ac:dyDescent="0.2">
      <c r="A37" s="13">
        <v>500</v>
      </c>
      <c r="B37" s="33">
        <v>32.361220121934458</v>
      </c>
      <c r="C37" s="33">
        <v>32.879974095802019</v>
      </c>
      <c r="D37" s="34">
        <v>2</v>
      </c>
      <c r="E37" s="14">
        <v>32.612856224844109</v>
      </c>
      <c r="F37" s="13">
        <v>500</v>
      </c>
      <c r="G37" s="33">
        <v>58.649013090526608</v>
      </c>
      <c r="H37" s="33">
        <v>57.791180114417976</v>
      </c>
      <c r="I37" s="34">
        <v>2</v>
      </c>
      <c r="J37" s="14">
        <v>58.19895069017312</v>
      </c>
    </row>
    <row r="38" spans="1:10" x14ac:dyDescent="0.2">
      <c r="A38" s="13">
        <v>630</v>
      </c>
      <c r="B38" s="33">
        <v>33.811949352757587</v>
      </c>
      <c r="C38" s="33">
        <v>35.015392478877224</v>
      </c>
      <c r="D38" s="34">
        <v>2</v>
      </c>
      <c r="E38" s="14">
        <v>34.372118888358045</v>
      </c>
      <c r="F38" s="13">
        <v>630</v>
      </c>
      <c r="G38" s="33">
        <v>62.820692577959612</v>
      </c>
      <c r="H38" s="33">
        <v>61.077679312768851</v>
      </c>
      <c r="I38" s="34">
        <v>2</v>
      </c>
      <c r="J38" s="14">
        <v>61.862323188083678</v>
      </c>
    </row>
    <row r="39" spans="1:10" x14ac:dyDescent="0.2">
      <c r="A39" s="13">
        <v>800</v>
      </c>
      <c r="B39" s="33">
        <v>35.892185601730453</v>
      </c>
      <c r="C39" s="33">
        <v>36.163755379776511</v>
      </c>
      <c r="D39" s="34">
        <v>2</v>
      </c>
      <c r="E39" s="14">
        <v>36.025848136713194</v>
      </c>
      <c r="F39" s="13">
        <v>800</v>
      </c>
      <c r="G39" s="33">
        <v>66.655787601509559</v>
      </c>
      <c r="H39" s="33">
        <v>66.17551526593553</v>
      </c>
      <c r="I39" s="34">
        <v>2</v>
      </c>
      <c r="J39" s="14">
        <v>66.409015841808724</v>
      </c>
    </row>
    <row r="40" spans="1:10" x14ac:dyDescent="0.2">
      <c r="A40" s="13">
        <v>1000</v>
      </c>
      <c r="B40" s="33">
        <v>38.769722245401013</v>
      </c>
      <c r="C40" s="33">
        <v>38.436538296218295</v>
      </c>
      <c r="D40" s="34">
        <v>2</v>
      </c>
      <c r="E40" s="14">
        <v>38.599935885000775</v>
      </c>
      <c r="F40" s="13">
        <v>1000</v>
      </c>
      <c r="G40" s="33">
        <v>66.28497657653952</v>
      </c>
      <c r="H40" s="33">
        <v>65.921875739171412</v>
      </c>
      <c r="I40" s="34">
        <v>2</v>
      </c>
      <c r="J40" s="14">
        <v>66.099632538500998</v>
      </c>
    </row>
    <row r="41" spans="1:10" x14ac:dyDescent="0.2">
      <c r="A41" s="13">
        <v>1250</v>
      </c>
      <c r="B41" s="33">
        <v>41.01243317761638</v>
      </c>
      <c r="C41" s="33">
        <v>41.288349600483578</v>
      </c>
      <c r="D41" s="34">
        <v>2</v>
      </c>
      <c r="E41" s="14">
        <v>41.148200563599858</v>
      </c>
      <c r="F41" s="13">
        <v>1250</v>
      </c>
      <c r="G41" s="33">
        <v>67.894497075015522</v>
      </c>
      <c r="H41" s="33">
        <v>68.195603057954699</v>
      </c>
      <c r="I41" s="34">
        <v>2</v>
      </c>
      <c r="J41" s="14">
        <v>68.042441045897817</v>
      </c>
    </row>
    <row r="42" spans="1:10" x14ac:dyDescent="0.2">
      <c r="A42" s="13">
        <v>1600</v>
      </c>
      <c r="B42" s="33">
        <v>41.948956878735963</v>
      </c>
      <c r="C42" s="33">
        <v>42.123055249346642</v>
      </c>
      <c r="D42" s="34">
        <v>2</v>
      </c>
      <c r="E42" s="14">
        <v>42.035133723538969</v>
      </c>
      <c r="F42" s="13">
        <v>1600</v>
      </c>
      <c r="G42" s="33">
        <v>68.291180058285605</v>
      </c>
      <c r="H42" s="33">
        <v>67.126560558823655</v>
      </c>
      <c r="I42" s="34">
        <v>2</v>
      </c>
      <c r="J42" s="14">
        <v>67.669948160461331</v>
      </c>
    </row>
    <row r="43" spans="1:10" x14ac:dyDescent="0.2">
      <c r="A43" s="13">
        <v>2000</v>
      </c>
      <c r="B43" s="33">
        <v>43.909079966454954</v>
      </c>
      <c r="C43" s="33">
        <v>44.281201164595274</v>
      </c>
      <c r="D43" s="34">
        <v>2</v>
      </c>
      <c r="E43" s="14">
        <v>44.091156176694</v>
      </c>
      <c r="F43" s="13">
        <v>2000</v>
      </c>
      <c r="G43" s="33">
        <v>68.909622021899125</v>
      </c>
      <c r="H43" s="33">
        <v>67.202588464044396</v>
      </c>
      <c r="I43" s="34">
        <v>2</v>
      </c>
      <c r="J43" s="14">
        <v>67.972769034075327</v>
      </c>
    </row>
    <row r="44" spans="1:10" x14ac:dyDescent="0.2">
      <c r="A44" s="13">
        <v>2500</v>
      </c>
      <c r="B44" s="33">
        <v>42.492587516973138</v>
      </c>
      <c r="C44" s="33">
        <v>44.850710754325597</v>
      </c>
      <c r="D44" s="34">
        <v>2</v>
      </c>
      <c r="E44" s="14">
        <v>43.513526351473516</v>
      </c>
      <c r="F44" s="13">
        <v>2500</v>
      </c>
      <c r="G44" s="33">
        <v>67.298750667892008</v>
      </c>
      <c r="H44" s="33">
        <v>67.349558827908822</v>
      </c>
      <c r="I44" s="34">
        <v>2</v>
      </c>
      <c r="J44" s="14">
        <v>67.324080447670099</v>
      </c>
    </row>
    <row r="45" spans="1:10" x14ac:dyDescent="0.2">
      <c r="A45" s="13">
        <v>3150</v>
      </c>
      <c r="B45" s="33">
        <v>39.135595188504652</v>
      </c>
      <c r="C45" s="33">
        <v>43.00528388266298</v>
      </c>
      <c r="D45" s="34">
        <v>2</v>
      </c>
      <c r="E45" s="14">
        <v>40.652984850111764</v>
      </c>
      <c r="F45" s="13">
        <v>3150</v>
      </c>
      <c r="G45" s="33">
        <v>63.195223114190647</v>
      </c>
      <c r="H45" s="33">
        <v>63.560588718120449</v>
      </c>
      <c r="I45" s="34">
        <v>2</v>
      </c>
      <c r="J45" s="14">
        <v>63.37406483936892</v>
      </c>
    </row>
    <row r="46" spans="1:10" x14ac:dyDescent="0.2">
      <c r="A46" s="13">
        <v>4000</v>
      </c>
      <c r="B46" s="33">
        <v>43.104239669618103</v>
      </c>
      <c r="C46" s="33">
        <v>44.449284408176815</v>
      </c>
      <c r="D46" s="34">
        <v>2</v>
      </c>
      <c r="E46" s="14">
        <v>43.724897438750183</v>
      </c>
      <c r="F46" s="13">
        <v>4000</v>
      </c>
      <c r="G46" s="33">
        <v>63.296507709095629</v>
      </c>
      <c r="H46" s="33">
        <v>63.26920818603103</v>
      </c>
      <c r="I46" s="34">
        <v>2</v>
      </c>
      <c r="J46" s="14">
        <v>63.282836497177605</v>
      </c>
    </row>
    <row r="47" spans="1:10" x14ac:dyDescent="0.2">
      <c r="A47" s="15">
        <v>5000</v>
      </c>
      <c r="B47" s="23">
        <v>45.914931267031527</v>
      </c>
      <c r="C47" s="23">
        <v>47.13133795856043</v>
      </c>
      <c r="D47" s="24">
        <v>2</v>
      </c>
      <c r="E47" s="17">
        <v>46.480685482662551</v>
      </c>
      <c r="F47" s="15">
        <v>5000</v>
      </c>
      <c r="G47" s="23">
        <v>63.141084471385255</v>
      </c>
      <c r="H47" s="23">
        <v>61.798846140234417</v>
      </c>
      <c r="I47" s="24">
        <v>2</v>
      </c>
      <c r="J47" s="17">
        <v>62.418316055654046</v>
      </c>
    </row>
  </sheetData>
  <mergeCells count="5">
    <mergeCell ref="A1:E1"/>
    <mergeCell ref="F1:J1"/>
    <mergeCell ref="K1:O1"/>
    <mergeCell ref="A25:E25"/>
    <mergeCell ref="F25:J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E93D-2776-3144-91D1-6D9B6B0ED8CF}">
  <dimension ref="B2:Z150"/>
  <sheetViews>
    <sheetView showGridLines="0" topLeftCell="A18" zoomScale="125" workbookViewId="0">
      <selection activeCell="C30" sqref="C30"/>
    </sheetView>
  </sheetViews>
  <sheetFormatPr baseColWidth="10" defaultRowHeight="16" x14ac:dyDescent="0.2"/>
  <cols>
    <col min="1" max="5" width="10.83203125" style="2"/>
    <col min="6" max="6" width="7.6640625" style="2" customWidth="1"/>
    <col min="7" max="10" width="5.83203125" style="2" customWidth="1"/>
    <col min="11" max="11" width="6.83203125" style="2" customWidth="1"/>
    <col min="12" max="14" width="5.83203125" style="2" customWidth="1"/>
    <col min="15" max="15" width="8.5" style="2" customWidth="1"/>
    <col min="16" max="16" width="6.6640625" style="2" customWidth="1"/>
    <col min="17" max="17" width="13.5" style="2" customWidth="1"/>
    <col min="18" max="18" width="8.33203125" style="2" customWidth="1"/>
    <col min="19" max="19" width="6.83203125" style="2" customWidth="1"/>
    <col min="20" max="20" width="15.33203125" style="2" customWidth="1"/>
    <col min="21" max="21" width="8.33203125" style="2" customWidth="1"/>
    <col min="22" max="22" width="6.1640625" style="2" customWidth="1"/>
    <col min="23" max="23" width="13.5" style="2" customWidth="1"/>
    <col min="24" max="24" width="8.1640625" style="2" customWidth="1"/>
    <col min="25" max="25" width="6.83203125" style="2" customWidth="1"/>
    <col min="26" max="26" width="13.83203125" style="2" customWidth="1"/>
    <col min="27" max="16384" width="10.83203125" style="2"/>
  </cols>
  <sheetData>
    <row r="2" spans="2:26" x14ac:dyDescent="0.2">
      <c r="F2" s="172" t="s">
        <v>42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4"/>
    </row>
    <row r="3" spans="2:26" x14ac:dyDescent="0.2">
      <c r="B3" s="43"/>
      <c r="C3" s="44"/>
      <c r="D3" s="44"/>
      <c r="E3" s="44"/>
      <c r="F3" s="184"/>
      <c r="G3" s="162" t="s">
        <v>96</v>
      </c>
      <c r="H3" s="163"/>
      <c r="I3" s="163"/>
      <c r="J3" s="163"/>
      <c r="K3" s="186" t="s">
        <v>95</v>
      </c>
      <c r="L3" s="187"/>
      <c r="M3" s="187"/>
      <c r="N3" s="188"/>
      <c r="O3" s="189" t="s">
        <v>99</v>
      </c>
      <c r="P3" s="190"/>
      <c r="Q3" s="191"/>
      <c r="R3" s="192" t="s">
        <v>97</v>
      </c>
      <c r="S3" s="192"/>
      <c r="T3" s="193"/>
      <c r="U3" s="190" t="s">
        <v>100</v>
      </c>
      <c r="V3" s="190"/>
      <c r="W3" s="191"/>
      <c r="X3" s="192" t="s">
        <v>98</v>
      </c>
      <c r="Y3" s="192"/>
      <c r="Z3" s="193"/>
    </row>
    <row r="4" spans="2:26" ht="30" customHeight="1" x14ac:dyDescent="0.2">
      <c r="B4" s="28"/>
      <c r="C4" s="29"/>
      <c r="D4" s="29"/>
      <c r="E4" s="29" t="s">
        <v>50</v>
      </c>
      <c r="F4" s="185"/>
      <c r="G4" s="89" t="s">
        <v>94</v>
      </c>
      <c r="H4" s="75" t="s">
        <v>106</v>
      </c>
      <c r="I4" s="90" t="s">
        <v>101</v>
      </c>
      <c r="J4" s="75" t="s">
        <v>82</v>
      </c>
      <c r="K4" s="89" t="s">
        <v>94</v>
      </c>
      <c r="L4" s="75" t="s">
        <v>106</v>
      </c>
      <c r="M4" s="90" t="s">
        <v>101</v>
      </c>
      <c r="N4" s="75" t="s">
        <v>82</v>
      </c>
      <c r="O4" s="142" t="s">
        <v>126</v>
      </c>
      <c r="P4" s="143"/>
      <c r="Q4" s="145"/>
      <c r="R4" s="144" t="s">
        <v>126</v>
      </c>
      <c r="S4" s="144"/>
      <c r="T4" s="145"/>
      <c r="U4" s="144" t="s">
        <v>126</v>
      </c>
      <c r="V4" s="143"/>
      <c r="W4" s="145"/>
      <c r="X4" s="144" t="s">
        <v>126</v>
      </c>
      <c r="Y4" s="144"/>
      <c r="Z4" s="145"/>
    </row>
    <row r="5" spans="2:26" x14ac:dyDescent="0.2">
      <c r="B5" s="77">
        <v>50</v>
      </c>
      <c r="C5" s="55">
        <f>'3º Alta Frec'!J5</f>
        <v>26.169895968430541</v>
      </c>
      <c r="D5" s="55">
        <f>'3º Alta Frec'!T5</f>
        <v>29.29749128536265</v>
      </c>
      <c r="E5" s="86">
        <f t="shared" ref="E5:E25" si="0">COUNT(C5:D5)</f>
        <v>2</v>
      </c>
      <c r="F5" s="111">
        <f>-10*LOG10((10^(-C5/10)+10^(-D5/10))/E5)</f>
        <v>27.45803085765175</v>
      </c>
      <c r="G5" s="13"/>
      <c r="H5" s="18"/>
      <c r="I5" s="18"/>
      <c r="J5" s="18"/>
      <c r="K5" s="13"/>
      <c r="L5" s="18"/>
      <c r="M5" s="95"/>
      <c r="N5" s="96"/>
      <c r="O5" s="13"/>
      <c r="P5" s="18"/>
      <c r="Q5" s="97"/>
      <c r="R5" s="34">
        <v>-41</v>
      </c>
      <c r="S5" s="33">
        <f t="shared" ref="S5:S7" si="1">R5-F5</f>
        <v>-68.45803085765175</v>
      </c>
      <c r="T5" s="97">
        <f>10^(S5/10)</f>
        <v>1.4262541274431719E-7</v>
      </c>
      <c r="U5" s="18"/>
      <c r="V5" s="18"/>
      <c r="W5" s="97"/>
      <c r="X5" s="34">
        <v>-25</v>
      </c>
      <c r="Y5" s="33">
        <f t="shared" ref="Y5:Y25" si="2">X5-F5</f>
        <v>-52.45803085765175</v>
      </c>
      <c r="Z5" s="97">
        <f t="shared" ref="Z5:Z25" si="3">10^(Y5/10)</f>
        <v>5.6780199516664766E-6</v>
      </c>
    </row>
    <row r="6" spans="2:26" x14ac:dyDescent="0.2">
      <c r="B6" s="13">
        <v>63</v>
      </c>
      <c r="C6" s="33">
        <f>'3º Alta Frec'!J6</f>
        <v>38.647495961060827</v>
      </c>
      <c r="D6" s="33">
        <f>'3º Alta Frec'!T6</f>
        <v>44.40217640191122</v>
      </c>
      <c r="E6" s="34">
        <f t="shared" si="0"/>
        <v>2</v>
      </c>
      <c r="F6" s="112">
        <f>-10*LOG10((10^(-C6/10)+10^(-D6/10))/E6)</f>
        <v>40.634193343482295</v>
      </c>
      <c r="G6" s="13"/>
      <c r="H6" s="18"/>
      <c r="I6" s="18"/>
      <c r="J6" s="18"/>
      <c r="K6" s="13"/>
      <c r="L6" s="18"/>
      <c r="M6" s="95"/>
      <c r="N6" s="96"/>
      <c r="O6" s="13"/>
      <c r="P6" s="18"/>
      <c r="Q6" s="97"/>
      <c r="R6" s="34">
        <v>-37</v>
      </c>
      <c r="S6" s="33">
        <f t="shared" si="1"/>
        <v>-77.634193343482295</v>
      </c>
      <c r="T6" s="97">
        <f t="shared" ref="T6:T25" si="4">10^(S6/10)</f>
        <v>1.7241723082370269E-8</v>
      </c>
      <c r="U6" s="18"/>
      <c r="V6" s="18"/>
      <c r="W6" s="97"/>
      <c r="X6" s="34">
        <v>-23</v>
      </c>
      <c r="Y6" s="33">
        <f t="shared" si="2"/>
        <v>-63.634193343482295</v>
      </c>
      <c r="Z6" s="97">
        <f t="shared" si="3"/>
        <v>4.3309250266451444E-7</v>
      </c>
    </row>
    <row r="7" spans="2:26" x14ac:dyDescent="0.2">
      <c r="B7" s="13">
        <v>80</v>
      </c>
      <c r="C7" s="33">
        <f>'3º Alta Frec'!J7</f>
        <v>32.1699812289311</v>
      </c>
      <c r="D7" s="33">
        <f>'3º Alta Frec'!T7</f>
        <v>45.005032452373044</v>
      </c>
      <c r="E7" s="34">
        <f t="shared" si="0"/>
        <v>2</v>
      </c>
      <c r="F7" s="112">
        <f>-10*LOG10((10^(-C7/10)+10^(-D7/10))/E7)</f>
        <v>34.959880693068015</v>
      </c>
      <c r="G7" s="13"/>
      <c r="H7" s="18"/>
      <c r="I7" s="18"/>
      <c r="J7" s="18"/>
      <c r="K7" s="13"/>
      <c r="L7" s="18"/>
      <c r="M7" s="95"/>
      <c r="N7" s="96"/>
      <c r="O7" s="13"/>
      <c r="P7" s="18"/>
      <c r="Q7" s="97"/>
      <c r="R7" s="34">
        <v>-34</v>
      </c>
      <c r="S7" s="33">
        <f t="shared" si="1"/>
        <v>-68.959880693068015</v>
      </c>
      <c r="T7" s="97">
        <f t="shared" si="4"/>
        <v>1.2706090101835895E-7</v>
      </c>
      <c r="U7" s="18"/>
      <c r="V7" s="18"/>
      <c r="W7" s="97"/>
      <c r="X7" s="34">
        <v>-21</v>
      </c>
      <c r="Y7" s="33">
        <f t="shared" si="2"/>
        <v>-55.959880693068015</v>
      </c>
      <c r="Z7" s="97">
        <f t="shared" si="3"/>
        <v>2.5351982750792256E-6</v>
      </c>
    </row>
    <row r="8" spans="2:26" x14ac:dyDescent="0.2">
      <c r="B8" s="13">
        <v>100</v>
      </c>
      <c r="C8" s="33">
        <f>'3º Alta Frec'!J8</f>
        <v>36.168894394983141</v>
      </c>
      <c r="D8" s="33">
        <f>'3º Alta Frec'!T8</f>
        <v>45.352919382397744</v>
      </c>
      <c r="E8" s="34">
        <f t="shared" si="0"/>
        <v>2</v>
      </c>
      <c r="F8" s="112">
        <f t="shared" ref="F8:F25" si="5">-10*LOG10((10^(-C8/10)+10^(-D8/10))/E8)</f>
        <v>38.684418840593857</v>
      </c>
      <c r="G8" s="13">
        <v>33</v>
      </c>
      <c r="H8" s="18">
        <f>G8-4</f>
        <v>29</v>
      </c>
      <c r="I8" s="18">
        <f>G8-5</f>
        <v>28</v>
      </c>
      <c r="J8" s="18">
        <f>G8-6</f>
        <v>27</v>
      </c>
      <c r="K8" s="79">
        <f t="shared" ref="K8:K23" si="6">IF((F8-G8)&gt;0,F8-G8,0)</f>
        <v>5.6844188405938567</v>
      </c>
      <c r="L8" s="33">
        <f t="shared" ref="L8:L23" si="7">IF((F8-H8)&gt;0,F8-H8,0)</f>
        <v>9.6844188405938567</v>
      </c>
      <c r="M8" s="98">
        <f t="shared" ref="M8:M23" si="8">IF((F8-I8)&gt;0,F8-I8,0)</f>
        <v>10.684418840593857</v>
      </c>
      <c r="N8" s="66">
        <f t="shared" ref="N8:N23" si="9">IF((F8-J8)&gt;0,F8-J8,0)</f>
        <v>11.684418840593857</v>
      </c>
      <c r="O8" s="99">
        <v>-29</v>
      </c>
      <c r="P8" s="33">
        <f>O8-F8</f>
        <v>-67.68441884059385</v>
      </c>
      <c r="Q8" s="97">
        <f>10^(P8/10)</f>
        <v>1.7043473745360436E-7</v>
      </c>
      <c r="R8" s="34">
        <v>-30</v>
      </c>
      <c r="S8" s="33">
        <f>R8-F8</f>
        <v>-68.68441884059385</v>
      </c>
      <c r="T8" s="97">
        <f>10^(S8/10)</f>
        <v>1.3538112413721808E-7</v>
      </c>
      <c r="U8" s="34">
        <v>-20</v>
      </c>
      <c r="V8" s="33">
        <f>U8-F8</f>
        <v>-58.684418840593857</v>
      </c>
      <c r="W8" s="97">
        <f>10^(V8/10)</f>
        <v>1.3538112413721773E-6</v>
      </c>
      <c r="X8" s="34">
        <v>-20</v>
      </c>
      <c r="Y8" s="33">
        <f>X8-F8</f>
        <v>-58.684418840593857</v>
      </c>
      <c r="Z8" s="97">
        <f>10^(Y8/10)</f>
        <v>1.3538112413721773E-6</v>
      </c>
    </row>
    <row r="9" spans="2:26" x14ac:dyDescent="0.2">
      <c r="B9" s="13">
        <v>125</v>
      </c>
      <c r="C9" s="33">
        <f>'3º Alta Frec'!J9</f>
        <v>33.602308062018835</v>
      </c>
      <c r="D9" s="33">
        <f>'3º Alta Frec'!T9</f>
        <v>34.966831752012418</v>
      </c>
      <c r="E9" s="34">
        <f t="shared" si="0"/>
        <v>2</v>
      </c>
      <c r="F9" s="112">
        <f t="shared" si="5"/>
        <v>34.231198390335791</v>
      </c>
      <c r="G9" s="13">
        <v>36</v>
      </c>
      <c r="H9" s="18">
        <f t="shared" ref="H9:H23" si="10">G9-4</f>
        <v>32</v>
      </c>
      <c r="I9" s="18">
        <f t="shared" ref="I9:I23" si="11">G9-5</f>
        <v>31</v>
      </c>
      <c r="J9" s="18">
        <f t="shared" ref="J9:J23" si="12">G9-6</f>
        <v>30</v>
      </c>
      <c r="K9" s="79">
        <f t="shared" si="6"/>
        <v>0</v>
      </c>
      <c r="L9" s="33">
        <f t="shared" si="7"/>
        <v>2.2311983903357913</v>
      </c>
      <c r="M9" s="98">
        <f t="shared" si="8"/>
        <v>3.2311983903357913</v>
      </c>
      <c r="N9" s="66">
        <f t="shared" si="9"/>
        <v>4.2311983903357913</v>
      </c>
      <c r="O9" s="99">
        <v>-26</v>
      </c>
      <c r="P9" s="33">
        <f t="shared" ref="P9:P23" si="13">O9-F9</f>
        <v>-60.231198390335791</v>
      </c>
      <c r="Q9" s="97">
        <f t="shared" ref="Q9:Q23" si="14">10^(P9/10)</f>
        <v>9.4815679322001729E-7</v>
      </c>
      <c r="R9" s="34">
        <v>-27</v>
      </c>
      <c r="S9" s="33">
        <f t="shared" ref="S9:S25" si="15">R9-F9</f>
        <v>-61.231198390335791</v>
      </c>
      <c r="T9" s="97">
        <f t="shared" si="4"/>
        <v>7.5314771180029144E-7</v>
      </c>
      <c r="U9" s="34">
        <v>-20</v>
      </c>
      <c r="V9" s="33">
        <f t="shared" ref="V9:V23" si="16">U9-F9</f>
        <v>-54.231198390335791</v>
      </c>
      <c r="W9" s="97">
        <f t="shared" ref="W9:W23" si="17">10^(V9/10)</f>
        <v>3.7746801818989832E-6</v>
      </c>
      <c r="X9" s="34">
        <v>-20</v>
      </c>
      <c r="Y9" s="33">
        <f t="shared" si="2"/>
        <v>-54.231198390335791</v>
      </c>
      <c r="Z9" s="97">
        <f t="shared" si="3"/>
        <v>3.7746801818989832E-6</v>
      </c>
    </row>
    <row r="10" spans="2:26" x14ac:dyDescent="0.2">
      <c r="B10" s="13">
        <v>160</v>
      </c>
      <c r="C10" s="33">
        <f>'3º Alta Frec'!J10</f>
        <v>37.461617614253093</v>
      </c>
      <c r="D10" s="33">
        <f>'3º Alta Frec'!T10</f>
        <v>39.696588993675462</v>
      </c>
      <c r="E10" s="34">
        <f t="shared" si="0"/>
        <v>2</v>
      </c>
      <c r="F10" s="112">
        <f t="shared" si="5"/>
        <v>38.436891870986685</v>
      </c>
      <c r="G10" s="13">
        <v>39</v>
      </c>
      <c r="H10" s="18">
        <f t="shared" si="10"/>
        <v>35</v>
      </c>
      <c r="I10" s="18">
        <f t="shared" si="11"/>
        <v>34</v>
      </c>
      <c r="J10" s="18">
        <f t="shared" si="12"/>
        <v>33</v>
      </c>
      <c r="K10" s="79">
        <f t="shared" si="6"/>
        <v>0</v>
      </c>
      <c r="L10" s="33">
        <f t="shared" si="7"/>
        <v>3.4368918709866847</v>
      </c>
      <c r="M10" s="98">
        <f t="shared" si="8"/>
        <v>4.4368918709866847</v>
      </c>
      <c r="N10" s="66">
        <f t="shared" si="9"/>
        <v>5.4368918709866847</v>
      </c>
      <c r="O10" s="99">
        <v>-23</v>
      </c>
      <c r="P10" s="33">
        <f t="shared" si="13"/>
        <v>-61.436891870986685</v>
      </c>
      <c r="Q10" s="97">
        <f t="shared" si="14"/>
        <v>7.1830818124192108E-7</v>
      </c>
      <c r="R10" s="34">
        <v>-24</v>
      </c>
      <c r="S10" s="33">
        <f t="shared" si="15"/>
        <v>-62.436891870986685</v>
      </c>
      <c r="T10" s="97">
        <f t="shared" si="4"/>
        <v>5.70572469593904E-7</v>
      </c>
      <c r="U10" s="34">
        <v>-18</v>
      </c>
      <c r="V10" s="33">
        <f t="shared" si="16"/>
        <v>-56.436891870986685</v>
      </c>
      <c r="W10" s="97">
        <f t="shared" si="17"/>
        <v>2.2714899146575079E-6</v>
      </c>
      <c r="X10" s="34">
        <v>-18</v>
      </c>
      <c r="Y10" s="33">
        <f t="shared" si="2"/>
        <v>-56.436891870986685</v>
      </c>
      <c r="Z10" s="97">
        <f t="shared" si="3"/>
        <v>2.2714899146575079E-6</v>
      </c>
    </row>
    <row r="11" spans="2:26" x14ac:dyDescent="0.2">
      <c r="B11" s="13">
        <v>200</v>
      </c>
      <c r="C11" s="33">
        <f>'3º Alta Frec'!J11</f>
        <v>41.564616160969933</v>
      </c>
      <c r="D11" s="33">
        <f>'3º Alta Frec'!T11</f>
        <v>39.325776109642845</v>
      </c>
      <c r="E11" s="34">
        <f t="shared" si="0"/>
        <v>2</v>
      </c>
      <c r="F11" s="112">
        <f t="shared" si="5"/>
        <v>40.302497275035797</v>
      </c>
      <c r="G11" s="13">
        <v>42</v>
      </c>
      <c r="H11" s="18">
        <f t="shared" si="10"/>
        <v>38</v>
      </c>
      <c r="I11" s="18">
        <f t="shared" si="11"/>
        <v>37</v>
      </c>
      <c r="J11" s="18">
        <f t="shared" si="12"/>
        <v>36</v>
      </c>
      <c r="K11" s="79">
        <f t="shared" si="6"/>
        <v>0</v>
      </c>
      <c r="L11" s="33">
        <f t="shared" si="7"/>
        <v>2.3024972750357975</v>
      </c>
      <c r="M11" s="98">
        <f t="shared" si="8"/>
        <v>3.3024972750357975</v>
      </c>
      <c r="N11" s="66">
        <f t="shared" si="9"/>
        <v>4.3024972750357975</v>
      </c>
      <c r="O11" s="99">
        <v>-21</v>
      </c>
      <c r="P11" s="33">
        <f t="shared" si="13"/>
        <v>-61.302497275035797</v>
      </c>
      <c r="Q11" s="97">
        <f t="shared" si="14"/>
        <v>7.4088409648786798E-7</v>
      </c>
      <c r="R11" s="34">
        <v>-22</v>
      </c>
      <c r="S11" s="33">
        <f t="shared" si="15"/>
        <v>-62.302497275035797</v>
      </c>
      <c r="T11" s="97">
        <f t="shared" si="4"/>
        <v>5.8850515649850295E-7</v>
      </c>
      <c r="U11" s="34">
        <v>-16</v>
      </c>
      <c r="V11" s="33">
        <f t="shared" si="16"/>
        <v>-56.302497275035797</v>
      </c>
      <c r="W11" s="97">
        <f t="shared" si="17"/>
        <v>2.3428812270976199E-6</v>
      </c>
      <c r="X11" s="34">
        <v>-16</v>
      </c>
      <c r="Y11" s="33">
        <f t="shared" si="2"/>
        <v>-56.302497275035797</v>
      </c>
      <c r="Z11" s="97">
        <f t="shared" si="3"/>
        <v>2.3428812270976199E-6</v>
      </c>
    </row>
    <row r="12" spans="2:26" x14ac:dyDescent="0.2">
      <c r="B12" s="13">
        <v>250</v>
      </c>
      <c r="C12" s="33">
        <f>'3º Alta Frec'!J12</f>
        <v>45.634067978114679</v>
      </c>
      <c r="D12" s="33">
        <f>'3º Alta Frec'!T12</f>
        <v>41.642522461064182</v>
      </c>
      <c r="E12" s="34">
        <f t="shared" si="0"/>
        <v>2</v>
      </c>
      <c r="F12" s="112">
        <f t="shared" si="5"/>
        <v>43.195008719363052</v>
      </c>
      <c r="G12" s="100">
        <v>45</v>
      </c>
      <c r="H12" s="18">
        <f t="shared" si="10"/>
        <v>41</v>
      </c>
      <c r="I12" s="18">
        <f t="shared" si="11"/>
        <v>40</v>
      </c>
      <c r="J12" s="18">
        <f t="shared" si="12"/>
        <v>39</v>
      </c>
      <c r="K12" s="79">
        <f t="shared" si="6"/>
        <v>0</v>
      </c>
      <c r="L12" s="33">
        <f t="shared" si="7"/>
        <v>2.1950087193630523</v>
      </c>
      <c r="M12" s="98">
        <f t="shared" si="8"/>
        <v>3.1950087193630523</v>
      </c>
      <c r="N12" s="66">
        <f t="shared" si="9"/>
        <v>4.1950087193630523</v>
      </c>
      <c r="O12" s="99">
        <v>-19</v>
      </c>
      <c r="P12" s="33">
        <f t="shared" si="13"/>
        <v>-62.195008719363052</v>
      </c>
      <c r="Q12" s="97">
        <f t="shared" si="14"/>
        <v>6.0325249677081052E-7</v>
      </c>
      <c r="R12" s="34">
        <v>-20</v>
      </c>
      <c r="S12" s="33">
        <f t="shared" si="15"/>
        <v>-63.195008719363052</v>
      </c>
      <c r="T12" s="97">
        <f t="shared" si="4"/>
        <v>4.7918049085297368E-7</v>
      </c>
      <c r="U12" s="34">
        <v>-15</v>
      </c>
      <c r="V12" s="33">
        <f t="shared" si="16"/>
        <v>-58.195008719363052</v>
      </c>
      <c r="W12" s="97">
        <f t="shared" si="17"/>
        <v>1.515301761412878E-6</v>
      </c>
      <c r="X12" s="34">
        <v>-15</v>
      </c>
      <c r="Y12" s="33">
        <f t="shared" si="2"/>
        <v>-58.195008719363052</v>
      </c>
      <c r="Z12" s="97">
        <f t="shared" si="3"/>
        <v>1.515301761412878E-6</v>
      </c>
    </row>
    <row r="13" spans="2:26" x14ac:dyDescent="0.2">
      <c r="B13" s="13">
        <v>315</v>
      </c>
      <c r="C13" s="33">
        <f>'3º Alta Frec'!J13</f>
        <v>42.08769518419048</v>
      </c>
      <c r="D13" s="33">
        <f>'3º Alta Frec'!T13</f>
        <v>40.272833861541997</v>
      </c>
      <c r="E13" s="34">
        <f t="shared" si="0"/>
        <v>2</v>
      </c>
      <c r="F13" s="112">
        <f t="shared" si="5"/>
        <v>41.086145462768506</v>
      </c>
      <c r="G13" s="100">
        <v>48</v>
      </c>
      <c r="H13" s="18">
        <f t="shared" si="10"/>
        <v>44</v>
      </c>
      <c r="I13" s="18">
        <f t="shared" si="11"/>
        <v>43</v>
      </c>
      <c r="J13" s="18">
        <f t="shared" si="12"/>
        <v>42</v>
      </c>
      <c r="K13" s="79">
        <f t="shared" si="6"/>
        <v>0</v>
      </c>
      <c r="L13" s="33">
        <f t="shared" si="7"/>
        <v>0</v>
      </c>
      <c r="M13" s="98">
        <f t="shared" si="8"/>
        <v>0</v>
      </c>
      <c r="N13" s="66">
        <f t="shared" si="9"/>
        <v>0</v>
      </c>
      <c r="O13" s="99">
        <v>-17</v>
      </c>
      <c r="P13" s="33">
        <f t="shared" si="13"/>
        <v>-58.086145462768506</v>
      </c>
      <c r="Q13" s="97">
        <f t="shared" si="14"/>
        <v>1.5537654271298839E-6</v>
      </c>
      <c r="R13" s="34">
        <v>-18</v>
      </c>
      <c r="S13" s="33">
        <f t="shared" si="15"/>
        <v>-59.086145462768506</v>
      </c>
      <c r="T13" s="97">
        <f t="shared" si="4"/>
        <v>1.2341997489077012E-6</v>
      </c>
      <c r="U13" s="34">
        <v>-14</v>
      </c>
      <c r="V13" s="33">
        <f t="shared" si="16"/>
        <v>-55.086145462768506</v>
      </c>
      <c r="W13" s="97">
        <f t="shared" si="17"/>
        <v>3.100169603053784E-6</v>
      </c>
      <c r="X13" s="34">
        <v>-14</v>
      </c>
      <c r="Y13" s="33">
        <f t="shared" si="2"/>
        <v>-55.086145462768506</v>
      </c>
      <c r="Z13" s="97">
        <f t="shared" si="3"/>
        <v>3.100169603053784E-6</v>
      </c>
    </row>
    <row r="14" spans="2:26" x14ac:dyDescent="0.2">
      <c r="B14" s="13">
        <v>400</v>
      </c>
      <c r="C14" s="33">
        <f>'3º Alta Frec'!J14</f>
        <v>41.790032987909257</v>
      </c>
      <c r="D14" s="33">
        <f>'3º Alta Frec'!T14</f>
        <v>42.195819126037883</v>
      </c>
      <c r="E14" s="34">
        <f t="shared" si="0"/>
        <v>2</v>
      </c>
      <c r="F14" s="112">
        <f t="shared" si="5"/>
        <v>41.988188415406114</v>
      </c>
      <c r="G14" s="100">
        <v>51</v>
      </c>
      <c r="H14" s="18">
        <f t="shared" si="10"/>
        <v>47</v>
      </c>
      <c r="I14" s="18">
        <f t="shared" si="11"/>
        <v>46</v>
      </c>
      <c r="J14" s="18">
        <f t="shared" si="12"/>
        <v>45</v>
      </c>
      <c r="K14" s="79">
        <f t="shared" si="6"/>
        <v>0</v>
      </c>
      <c r="L14" s="33">
        <f t="shared" si="7"/>
        <v>0</v>
      </c>
      <c r="M14" s="98">
        <f t="shared" si="8"/>
        <v>0</v>
      </c>
      <c r="N14" s="66">
        <f t="shared" si="9"/>
        <v>0</v>
      </c>
      <c r="O14" s="99">
        <v>-15</v>
      </c>
      <c r="P14" s="33">
        <f t="shared" si="13"/>
        <v>-56.988188415406114</v>
      </c>
      <c r="Q14" s="97">
        <f t="shared" si="14"/>
        <v>2.0006962515620786E-6</v>
      </c>
      <c r="R14" s="34">
        <v>-16</v>
      </c>
      <c r="S14" s="33">
        <f t="shared" si="15"/>
        <v>-57.988188415406114</v>
      </c>
      <c r="T14" s="97">
        <f t="shared" si="4"/>
        <v>1.5892095217227945E-6</v>
      </c>
      <c r="U14" s="34">
        <v>-13</v>
      </c>
      <c r="V14" s="33">
        <f t="shared" si="16"/>
        <v>-54.988188415406114</v>
      </c>
      <c r="W14" s="97">
        <f t="shared" si="17"/>
        <v>3.1708898692832055E-6</v>
      </c>
      <c r="X14" s="34">
        <v>-13</v>
      </c>
      <c r="Y14" s="33">
        <f t="shared" si="2"/>
        <v>-54.988188415406114</v>
      </c>
      <c r="Z14" s="97">
        <f t="shared" si="3"/>
        <v>3.1708898692832055E-6</v>
      </c>
    </row>
    <row r="15" spans="2:26" x14ac:dyDescent="0.2">
      <c r="B15" s="13">
        <v>500</v>
      </c>
      <c r="C15" s="33">
        <f>'3º Alta Frec'!J15</f>
        <v>43.510798780570184</v>
      </c>
      <c r="D15" s="33">
        <f>'3º Alta Frec'!T15</f>
        <v>43.666334386158006</v>
      </c>
      <c r="E15" s="34">
        <f t="shared" si="0"/>
        <v>2</v>
      </c>
      <c r="F15" s="112">
        <f t="shared" si="5"/>
        <v>43.587870338278677</v>
      </c>
      <c r="G15" s="101">
        <v>52</v>
      </c>
      <c r="H15" s="18">
        <f t="shared" si="10"/>
        <v>48</v>
      </c>
      <c r="I15" s="95">
        <f t="shared" si="11"/>
        <v>47</v>
      </c>
      <c r="J15" s="18">
        <f t="shared" si="12"/>
        <v>46</v>
      </c>
      <c r="K15" s="79">
        <f t="shared" si="6"/>
        <v>0</v>
      </c>
      <c r="L15" s="33">
        <f t="shared" si="7"/>
        <v>0</v>
      </c>
      <c r="M15" s="98">
        <f t="shared" si="8"/>
        <v>0</v>
      </c>
      <c r="N15" s="66">
        <f t="shared" si="9"/>
        <v>0</v>
      </c>
      <c r="O15" s="99">
        <v>-13</v>
      </c>
      <c r="P15" s="33">
        <f t="shared" si="13"/>
        <v>-56.587870338278677</v>
      </c>
      <c r="Q15" s="97">
        <f t="shared" si="14"/>
        <v>2.193880490790084E-6</v>
      </c>
      <c r="R15" s="34">
        <v>-14</v>
      </c>
      <c r="S15" s="33">
        <f t="shared" si="15"/>
        <v>-57.587870338278677</v>
      </c>
      <c r="T15" s="97">
        <f t="shared" si="4"/>
        <v>1.7426612174453296E-6</v>
      </c>
      <c r="U15" s="34">
        <v>-12</v>
      </c>
      <c r="V15" s="33">
        <f t="shared" si="16"/>
        <v>-55.587870338278677</v>
      </c>
      <c r="W15" s="97">
        <f t="shared" si="17"/>
        <v>2.7619319002950985E-6</v>
      </c>
      <c r="X15" s="34">
        <v>-12</v>
      </c>
      <c r="Y15" s="33">
        <f t="shared" si="2"/>
        <v>-55.587870338278677</v>
      </c>
      <c r="Z15" s="97">
        <f t="shared" si="3"/>
        <v>2.7619319002950985E-6</v>
      </c>
    </row>
    <row r="16" spans="2:26" x14ac:dyDescent="0.2">
      <c r="B16" s="13">
        <v>630</v>
      </c>
      <c r="C16" s="33">
        <f>'3º Alta Frec'!J16</f>
        <v>48.234336265124938</v>
      </c>
      <c r="D16" s="33">
        <f>'3º Alta Frec'!T16</f>
        <v>49.058975914575271</v>
      </c>
      <c r="E16" s="34">
        <f t="shared" si="0"/>
        <v>2</v>
      </c>
      <c r="F16" s="112">
        <f t="shared" si="5"/>
        <v>48.627112570482936</v>
      </c>
      <c r="G16" s="13">
        <v>53</v>
      </c>
      <c r="H16" s="18">
        <f t="shared" si="10"/>
        <v>49</v>
      </c>
      <c r="I16" s="18">
        <f t="shared" si="11"/>
        <v>48</v>
      </c>
      <c r="J16" s="18">
        <f t="shared" si="12"/>
        <v>47</v>
      </c>
      <c r="K16" s="79">
        <f t="shared" si="6"/>
        <v>0</v>
      </c>
      <c r="L16" s="33">
        <f t="shared" si="7"/>
        <v>0</v>
      </c>
      <c r="M16" s="98">
        <f t="shared" si="8"/>
        <v>0.62711257048293589</v>
      </c>
      <c r="N16" s="66">
        <f t="shared" si="9"/>
        <v>1.6271125704829359</v>
      </c>
      <c r="O16" s="99">
        <v>-12</v>
      </c>
      <c r="P16" s="33">
        <f t="shared" si="13"/>
        <v>-60.627112570482936</v>
      </c>
      <c r="Q16" s="97">
        <f t="shared" si="14"/>
        <v>8.6554318842274925E-7</v>
      </c>
      <c r="R16" s="34">
        <v>-13</v>
      </c>
      <c r="S16" s="33">
        <f t="shared" si="15"/>
        <v>-61.627112570482936</v>
      </c>
      <c r="T16" s="97">
        <f t="shared" si="4"/>
        <v>6.8752539293746936E-7</v>
      </c>
      <c r="U16" s="34">
        <v>-11</v>
      </c>
      <c r="V16" s="33">
        <f t="shared" si="16"/>
        <v>-59.627112570482936</v>
      </c>
      <c r="W16" s="97">
        <f t="shared" si="17"/>
        <v>1.089654314910747E-6</v>
      </c>
      <c r="X16" s="34">
        <v>-11</v>
      </c>
      <c r="Y16" s="33">
        <f t="shared" si="2"/>
        <v>-59.627112570482936</v>
      </c>
      <c r="Z16" s="97">
        <f t="shared" si="3"/>
        <v>1.089654314910747E-6</v>
      </c>
    </row>
    <row r="17" spans="2:26" x14ac:dyDescent="0.2">
      <c r="B17" s="13">
        <v>800</v>
      </c>
      <c r="C17" s="33">
        <f>'3º Alta Frec'!J17</f>
        <v>51.197008544886081</v>
      </c>
      <c r="D17" s="33">
        <f>'3º Alta Frec'!T17</f>
        <v>50.440296055959813</v>
      </c>
      <c r="E17" s="34">
        <f t="shared" si="0"/>
        <v>2</v>
      </c>
      <c r="F17" s="112">
        <f t="shared" si="5"/>
        <v>50.80219195682912</v>
      </c>
      <c r="G17" s="13">
        <v>54</v>
      </c>
      <c r="H17" s="18">
        <f t="shared" si="10"/>
        <v>50</v>
      </c>
      <c r="I17" s="18">
        <f t="shared" si="11"/>
        <v>49</v>
      </c>
      <c r="J17" s="18">
        <f t="shared" si="12"/>
        <v>48</v>
      </c>
      <c r="K17" s="79">
        <f t="shared" si="6"/>
        <v>0</v>
      </c>
      <c r="L17" s="33">
        <f t="shared" si="7"/>
        <v>0.80219195682911959</v>
      </c>
      <c r="M17" s="98">
        <f t="shared" si="8"/>
        <v>1.8021919568291196</v>
      </c>
      <c r="N17" s="66">
        <f t="shared" si="9"/>
        <v>2.8021919568291196</v>
      </c>
      <c r="O17" s="99">
        <v>-11</v>
      </c>
      <c r="P17" s="33">
        <f t="shared" si="13"/>
        <v>-61.80219195682912</v>
      </c>
      <c r="Q17" s="97">
        <f t="shared" si="14"/>
        <v>6.6036006912095361E-7</v>
      </c>
      <c r="R17" s="34">
        <v>-12</v>
      </c>
      <c r="S17" s="33">
        <f t="shared" si="15"/>
        <v>-62.80219195682912</v>
      </c>
      <c r="T17" s="97">
        <f t="shared" si="4"/>
        <v>5.2454264798725124E-7</v>
      </c>
      <c r="U17" s="34">
        <v>-9</v>
      </c>
      <c r="V17" s="33">
        <f t="shared" si="16"/>
        <v>-59.80219195682912</v>
      </c>
      <c r="W17" s="97">
        <f t="shared" si="17"/>
        <v>1.0466001781229497E-6</v>
      </c>
      <c r="X17" s="34">
        <v>-9</v>
      </c>
      <c r="Y17" s="33">
        <f t="shared" si="2"/>
        <v>-59.80219195682912</v>
      </c>
      <c r="Z17" s="97">
        <f t="shared" si="3"/>
        <v>1.0466001781229497E-6</v>
      </c>
    </row>
    <row r="18" spans="2:26" x14ac:dyDescent="0.2">
      <c r="B18" s="13">
        <v>1000</v>
      </c>
      <c r="C18" s="33">
        <f>'3º Alta Frec'!J18</f>
        <v>53.347342066419088</v>
      </c>
      <c r="D18" s="33">
        <f>'3º Alta Frec'!T18</f>
        <v>52.044468249655466</v>
      </c>
      <c r="E18" s="34">
        <f t="shared" si="0"/>
        <v>2</v>
      </c>
      <c r="F18" s="112">
        <f t="shared" si="5"/>
        <v>52.647229871754497</v>
      </c>
      <c r="G18" s="13">
        <v>55</v>
      </c>
      <c r="H18" s="18">
        <f t="shared" si="10"/>
        <v>51</v>
      </c>
      <c r="I18" s="18">
        <f t="shared" si="11"/>
        <v>50</v>
      </c>
      <c r="J18" s="18">
        <f t="shared" si="12"/>
        <v>49</v>
      </c>
      <c r="K18" s="79">
        <f t="shared" si="6"/>
        <v>0</v>
      </c>
      <c r="L18" s="33">
        <f t="shared" si="7"/>
        <v>1.6472298717544973</v>
      </c>
      <c r="M18" s="98">
        <f t="shared" si="8"/>
        <v>2.6472298717544973</v>
      </c>
      <c r="N18" s="66">
        <f t="shared" si="9"/>
        <v>3.6472298717544973</v>
      </c>
      <c r="O18" s="99">
        <v>-10</v>
      </c>
      <c r="P18" s="33">
        <f t="shared" si="13"/>
        <v>-62.647229871754497</v>
      </c>
      <c r="Q18" s="97">
        <f t="shared" si="14"/>
        <v>5.4359695185966488E-7</v>
      </c>
      <c r="R18" s="34">
        <v>-11</v>
      </c>
      <c r="S18" s="33">
        <f t="shared" si="15"/>
        <v>-63.647229871754497</v>
      </c>
      <c r="T18" s="97">
        <f t="shared" si="4"/>
        <v>4.3179440717218817E-7</v>
      </c>
      <c r="U18" s="34">
        <v>-8</v>
      </c>
      <c r="V18" s="33">
        <f t="shared" si="16"/>
        <v>-60.647229871754497</v>
      </c>
      <c r="W18" s="97">
        <f t="shared" si="17"/>
        <v>8.6154310844499429E-7</v>
      </c>
      <c r="X18" s="34">
        <v>-8</v>
      </c>
      <c r="Y18" s="33">
        <f t="shared" si="2"/>
        <v>-60.647229871754497</v>
      </c>
      <c r="Z18" s="97">
        <f t="shared" si="3"/>
        <v>8.6154310844499429E-7</v>
      </c>
    </row>
    <row r="19" spans="2:26" x14ac:dyDescent="0.2">
      <c r="B19" s="13">
        <v>1250</v>
      </c>
      <c r="C19" s="33">
        <f>'3º Alta Frec'!J19</f>
        <v>51.729482260745151</v>
      </c>
      <c r="D19" s="33">
        <f>'3º Alta Frec'!T19</f>
        <v>50.587443810897341</v>
      </c>
      <c r="E19" s="34">
        <f t="shared" si="0"/>
        <v>2</v>
      </c>
      <c r="F19" s="112">
        <f t="shared" si="5"/>
        <v>51.121031315311505</v>
      </c>
      <c r="G19" s="13">
        <v>56</v>
      </c>
      <c r="H19" s="18">
        <f t="shared" si="10"/>
        <v>52</v>
      </c>
      <c r="I19" s="18">
        <f t="shared" si="11"/>
        <v>51</v>
      </c>
      <c r="J19" s="18">
        <f t="shared" si="12"/>
        <v>50</v>
      </c>
      <c r="K19" s="79">
        <f t="shared" si="6"/>
        <v>0</v>
      </c>
      <c r="L19" s="33">
        <f t="shared" si="7"/>
        <v>0</v>
      </c>
      <c r="M19" s="98">
        <f t="shared" si="8"/>
        <v>0.12103131531150524</v>
      </c>
      <c r="N19" s="66">
        <f t="shared" si="9"/>
        <v>1.1210313153115052</v>
      </c>
      <c r="O19" s="99">
        <v>-9</v>
      </c>
      <c r="P19" s="33">
        <f t="shared" si="13"/>
        <v>-60.121031315311505</v>
      </c>
      <c r="Q19" s="97">
        <f t="shared" si="14"/>
        <v>9.725162537688861E-7</v>
      </c>
      <c r="R19" s="34">
        <v>-10</v>
      </c>
      <c r="S19" s="33">
        <f t="shared" si="15"/>
        <v>-61.121031315311505</v>
      </c>
      <c r="T19" s="97">
        <f t="shared" si="4"/>
        <v>7.7249711909690877E-7</v>
      </c>
      <c r="U19" s="34">
        <v>-9</v>
      </c>
      <c r="V19" s="33">
        <f t="shared" si="16"/>
        <v>-60.121031315311505</v>
      </c>
      <c r="W19" s="97">
        <f t="shared" si="17"/>
        <v>9.725162537688861E-7</v>
      </c>
      <c r="X19" s="34">
        <v>-9</v>
      </c>
      <c r="Y19" s="33">
        <f t="shared" si="2"/>
        <v>-60.121031315311505</v>
      </c>
      <c r="Z19" s="97">
        <f t="shared" si="3"/>
        <v>9.725162537688861E-7</v>
      </c>
    </row>
    <row r="20" spans="2:26" x14ac:dyDescent="0.2">
      <c r="B20" s="13">
        <v>1600</v>
      </c>
      <c r="C20" s="33">
        <f>'3º Alta Frec'!J20</f>
        <v>52.860013457912039</v>
      </c>
      <c r="D20" s="33">
        <f>'3º Alta Frec'!T20</f>
        <v>51.403417234114364</v>
      </c>
      <c r="E20" s="34">
        <f t="shared" si="0"/>
        <v>2</v>
      </c>
      <c r="F20" s="112">
        <f t="shared" si="5"/>
        <v>52.070932794333203</v>
      </c>
      <c r="G20" s="13">
        <v>56</v>
      </c>
      <c r="H20" s="18">
        <f t="shared" si="10"/>
        <v>52</v>
      </c>
      <c r="I20" s="18">
        <f t="shared" si="11"/>
        <v>51</v>
      </c>
      <c r="J20" s="18">
        <f t="shared" si="12"/>
        <v>50</v>
      </c>
      <c r="K20" s="79">
        <f t="shared" si="6"/>
        <v>0</v>
      </c>
      <c r="L20" s="33">
        <f t="shared" si="7"/>
        <v>7.0932794333202764E-2</v>
      </c>
      <c r="M20" s="98">
        <f t="shared" si="8"/>
        <v>1.0709327943332028</v>
      </c>
      <c r="N20" s="66">
        <f t="shared" si="9"/>
        <v>2.0709327943332028</v>
      </c>
      <c r="O20" s="99">
        <v>-9</v>
      </c>
      <c r="P20" s="33">
        <f t="shared" si="13"/>
        <v>-61.070932794333203</v>
      </c>
      <c r="Q20" s="97">
        <f t="shared" si="14"/>
        <v>7.8145994160053038E-7</v>
      </c>
      <c r="R20" s="34">
        <v>-10</v>
      </c>
      <c r="S20" s="33">
        <f t="shared" si="15"/>
        <v>-62.070932794333203</v>
      </c>
      <c r="T20" s="97">
        <f t="shared" si="4"/>
        <v>6.2073569591928892E-7</v>
      </c>
      <c r="U20" s="34">
        <v>-10</v>
      </c>
      <c r="V20" s="33">
        <f t="shared" si="16"/>
        <v>-62.070932794333203</v>
      </c>
      <c r="W20" s="97">
        <f t="shared" si="17"/>
        <v>6.2073569591928892E-7</v>
      </c>
      <c r="X20" s="34">
        <v>-10</v>
      </c>
      <c r="Y20" s="33">
        <f t="shared" si="2"/>
        <v>-62.070932794333203</v>
      </c>
      <c r="Z20" s="97">
        <f t="shared" si="3"/>
        <v>6.2073569591928892E-7</v>
      </c>
    </row>
    <row r="21" spans="2:26" x14ac:dyDescent="0.2">
      <c r="B21" s="13">
        <v>2000</v>
      </c>
      <c r="C21" s="33">
        <f>'3º Alta Frec'!J21</f>
        <v>52.183460950651245</v>
      </c>
      <c r="D21" s="33">
        <f>'3º Alta Frec'!T21</f>
        <v>50.635299513868155</v>
      </c>
      <c r="E21" s="34">
        <f t="shared" si="0"/>
        <v>2</v>
      </c>
      <c r="F21" s="112">
        <f t="shared" si="5"/>
        <v>51.340756874922626</v>
      </c>
      <c r="G21" s="13">
        <v>56</v>
      </c>
      <c r="H21" s="18">
        <f t="shared" si="10"/>
        <v>52</v>
      </c>
      <c r="I21" s="18">
        <f t="shared" si="11"/>
        <v>51</v>
      </c>
      <c r="J21" s="18">
        <f t="shared" si="12"/>
        <v>50</v>
      </c>
      <c r="K21" s="79">
        <f t="shared" si="6"/>
        <v>0</v>
      </c>
      <c r="L21" s="33">
        <f t="shared" si="7"/>
        <v>0</v>
      </c>
      <c r="M21" s="98">
        <f t="shared" si="8"/>
        <v>0.34075687492262574</v>
      </c>
      <c r="N21" s="66">
        <f t="shared" si="9"/>
        <v>1.3407568749226257</v>
      </c>
      <c r="O21" s="99">
        <v>-9</v>
      </c>
      <c r="P21" s="33">
        <f t="shared" si="13"/>
        <v>-60.340756874922626</v>
      </c>
      <c r="Q21" s="97">
        <f t="shared" si="14"/>
        <v>9.2453703445682708E-7</v>
      </c>
      <c r="R21" s="34">
        <v>-10</v>
      </c>
      <c r="S21" s="33">
        <f t="shared" si="15"/>
        <v>-61.340756874922626</v>
      </c>
      <c r="T21" s="97">
        <f t="shared" si="4"/>
        <v>7.3438587051731309E-7</v>
      </c>
      <c r="U21" s="34">
        <v>-11</v>
      </c>
      <c r="V21" s="33">
        <f t="shared" si="16"/>
        <v>-62.340756874922626</v>
      </c>
      <c r="W21" s="97">
        <f t="shared" si="17"/>
        <v>5.8334343213447155E-7</v>
      </c>
      <c r="X21" s="34">
        <v>-11</v>
      </c>
      <c r="Y21" s="33">
        <f t="shared" si="2"/>
        <v>-62.340756874922626</v>
      </c>
      <c r="Z21" s="97">
        <f t="shared" si="3"/>
        <v>5.8334343213447155E-7</v>
      </c>
    </row>
    <row r="22" spans="2:26" x14ac:dyDescent="0.2">
      <c r="B22" s="13">
        <v>2500</v>
      </c>
      <c r="C22" s="33">
        <f>'3º Alta Frec'!J22</f>
        <v>47.597262388544451</v>
      </c>
      <c r="D22" s="33">
        <f>'3º Alta Frec'!T22</f>
        <v>45.960719566830868</v>
      </c>
      <c r="E22" s="34">
        <f t="shared" si="0"/>
        <v>2</v>
      </c>
      <c r="F22" s="112">
        <f t="shared" si="5"/>
        <v>46.702355924532348</v>
      </c>
      <c r="G22" s="13">
        <v>56</v>
      </c>
      <c r="H22" s="18">
        <f t="shared" si="10"/>
        <v>52</v>
      </c>
      <c r="I22" s="18">
        <f t="shared" si="11"/>
        <v>51</v>
      </c>
      <c r="J22" s="18">
        <f t="shared" si="12"/>
        <v>50</v>
      </c>
      <c r="K22" s="79">
        <f t="shared" si="6"/>
        <v>0</v>
      </c>
      <c r="L22" s="33">
        <f t="shared" si="7"/>
        <v>0</v>
      </c>
      <c r="M22" s="98">
        <f t="shared" si="8"/>
        <v>0</v>
      </c>
      <c r="N22" s="66">
        <f t="shared" si="9"/>
        <v>0</v>
      </c>
      <c r="O22" s="99">
        <v>-9</v>
      </c>
      <c r="P22" s="33">
        <f t="shared" si="13"/>
        <v>-55.702355924532348</v>
      </c>
      <c r="Q22" s="97">
        <f t="shared" si="14"/>
        <v>2.6900751184994916E-6</v>
      </c>
      <c r="R22" s="34">
        <v>-10</v>
      </c>
      <c r="S22" s="33">
        <f t="shared" si="15"/>
        <v>-56.702355924532348</v>
      </c>
      <c r="T22" s="97">
        <f t="shared" si="4"/>
        <v>2.1368026201534152E-6</v>
      </c>
      <c r="U22" s="34">
        <v>-13</v>
      </c>
      <c r="V22" s="33">
        <f t="shared" si="16"/>
        <v>-59.702355924532348</v>
      </c>
      <c r="W22" s="97">
        <f t="shared" si="17"/>
        <v>1.0709381940021966E-6</v>
      </c>
      <c r="X22" s="34">
        <v>-13</v>
      </c>
      <c r="Y22" s="33">
        <f t="shared" si="2"/>
        <v>-59.702355924532348</v>
      </c>
      <c r="Z22" s="97">
        <f t="shared" si="3"/>
        <v>1.0709381940021966E-6</v>
      </c>
    </row>
    <row r="23" spans="2:26" x14ac:dyDescent="0.2">
      <c r="B23" s="13">
        <v>3150</v>
      </c>
      <c r="C23" s="33">
        <f>'3º Alta Frec'!J23</f>
        <v>43.373805439232356</v>
      </c>
      <c r="D23" s="33">
        <f>'3º Alta Frec'!T23</f>
        <v>41.578625229102045</v>
      </c>
      <c r="E23" s="34">
        <f t="shared" si="0"/>
        <v>2</v>
      </c>
      <c r="F23" s="112">
        <f t="shared" si="5"/>
        <v>42.384112308277004</v>
      </c>
      <c r="G23" s="13">
        <v>56</v>
      </c>
      <c r="H23" s="18">
        <f t="shared" si="10"/>
        <v>52</v>
      </c>
      <c r="I23" s="18">
        <f t="shared" si="11"/>
        <v>51</v>
      </c>
      <c r="J23" s="18">
        <f t="shared" si="12"/>
        <v>50</v>
      </c>
      <c r="K23" s="79">
        <f t="shared" si="6"/>
        <v>0</v>
      </c>
      <c r="L23" s="33">
        <f t="shared" si="7"/>
        <v>0</v>
      </c>
      <c r="M23" s="98">
        <f t="shared" si="8"/>
        <v>0</v>
      </c>
      <c r="N23" s="66">
        <f t="shared" si="9"/>
        <v>0</v>
      </c>
      <c r="O23" s="99">
        <v>-9</v>
      </c>
      <c r="P23" s="33">
        <f t="shared" si="13"/>
        <v>-51.384112308277004</v>
      </c>
      <c r="Q23" s="97">
        <f t="shared" si="14"/>
        <v>7.2709100038948226E-6</v>
      </c>
      <c r="R23" s="34">
        <v>-10</v>
      </c>
      <c r="S23" s="33">
        <f t="shared" si="15"/>
        <v>-52.384112308277004</v>
      </c>
      <c r="T23" s="97">
        <f t="shared" si="4"/>
        <v>5.7754891082328992E-6</v>
      </c>
      <c r="U23" s="34">
        <v>-15</v>
      </c>
      <c r="V23" s="33">
        <f t="shared" si="16"/>
        <v>-57.384112308277004</v>
      </c>
      <c r="W23" s="97">
        <f t="shared" si="17"/>
        <v>1.8263700183510681E-6</v>
      </c>
      <c r="X23" s="34">
        <v>-15</v>
      </c>
      <c r="Y23" s="33">
        <f t="shared" si="2"/>
        <v>-57.384112308277004</v>
      </c>
      <c r="Z23" s="97">
        <f t="shared" si="3"/>
        <v>1.8263700183510681E-6</v>
      </c>
    </row>
    <row r="24" spans="2:26" x14ac:dyDescent="0.2">
      <c r="B24" s="13">
        <v>4000</v>
      </c>
      <c r="C24" s="33">
        <f>'3º Alta Frec'!J24</f>
        <v>44.548731169622066</v>
      </c>
      <c r="D24" s="33">
        <f>'3º Alta Frec'!T24</f>
        <v>43.504811654783119</v>
      </c>
      <c r="E24" s="34">
        <f t="shared" si="0"/>
        <v>2</v>
      </c>
      <c r="F24" s="112">
        <f t="shared" si="5"/>
        <v>43.995480591193555</v>
      </c>
      <c r="G24" s="13"/>
      <c r="H24" s="18"/>
      <c r="I24" s="18"/>
      <c r="J24" s="18"/>
      <c r="K24" s="13"/>
      <c r="L24" s="18"/>
      <c r="M24" s="95"/>
      <c r="N24" s="96"/>
      <c r="O24" s="99"/>
      <c r="P24" s="18"/>
      <c r="Q24" s="97"/>
      <c r="R24" s="34">
        <v>-10</v>
      </c>
      <c r="S24" s="33">
        <f t="shared" si="15"/>
        <v>-53.995480591193555</v>
      </c>
      <c r="T24" s="97">
        <f t="shared" si="4"/>
        <v>3.9852166938088037E-6</v>
      </c>
      <c r="U24" s="18"/>
      <c r="V24" s="18"/>
      <c r="W24" s="97"/>
      <c r="X24" s="34">
        <v>-16</v>
      </c>
      <c r="Y24" s="33">
        <f t="shared" si="2"/>
        <v>-59.995480591193555</v>
      </c>
      <c r="Z24" s="97">
        <f t="shared" si="3"/>
        <v>1.0010411739803826E-6</v>
      </c>
    </row>
    <row r="25" spans="2:26" x14ac:dyDescent="0.2">
      <c r="B25" s="15">
        <v>5000</v>
      </c>
      <c r="C25" s="23">
        <f>'3º Alta Frec'!J25</f>
        <v>49.60969512555063</v>
      </c>
      <c r="D25" s="23">
        <f>'3º Alta Frec'!T25</f>
        <v>48.975219363962388</v>
      </c>
      <c r="E25" s="24">
        <f t="shared" si="0"/>
        <v>2</v>
      </c>
      <c r="F25" s="113">
        <f t="shared" si="5"/>
        <v>49.28088094055412</v>
      </c>
      <c r="G25" s="15"/>
      <c r="H25" s="16"/>
      <c r="I25" s="16"/>
      <c r="J25" s="16"/>
      <c r="K25" s="13"/>
      <c r="L25" s="18"/>
      <c r="M25" s="95"/>
      <c r="N25" s="96"/>
      <c r="O25" s="13"/>
      <c r="P25" s="18"/>
      <c r="Q25" s="97"/>
      <c r="R25" s="34">
        <v>-10</v>
      </c>
      <c r="S25" s="33">
        <f t="shared" si="15"/>
        <v>-59.28088094055412</v>
      </c>
      <c r="T25" s="97">
        <f t="shared" si="4"/>
        <v>1.1800812389042626E-6</v>
      </c>
      <c r="U25" s="18"/>
      <c r="V25" s="18"/>
      <c r="W25" s="97"/>
      <c r="X25" s="34">
        <v>-18</v>
      </c>
      <c r="Y25" s="33">
        <f t="shared" si="2"/>
        <v>-67.280880940554113</v>
      </c>
      <c r="Z25" s="97">
        <f t="shared" si="3"/>
        <v>1.870302722090447E-7</v>
      </c>
    </row>
    <row r="26" spans="2:26" x14ac:dyDescent="0.2">
      <c r="K26" s="80">
        <f>SUM(K8:K23)</f>
        <v>5.6844188405938567</v>
      </c>
      <c r="L26" s="23">
        <f t="shared" ref="L26:N26" si="18">SUM(L8:L23)</f>
        <v>22.370369719232002</v>
      </c>
      <c r="M26" s="102">
        <f t="shared" si="18"/>
        <v>31.459270479949069</v>
      </c>
      <c r="N26" s="59">
        <f t="shared" si="18"/>
        <v>42.459270479949069</v>
      </c>
      <c r="O26" s="79" t="s">
        <v>127</v>
      </c>
      <c r="P26" s="33">
        <f>52-5</f>
        <v>47</v>
      </c>
      <c r="Q26" s="103">
        <f>-10*LOG10(SUM(Q5:Q25))</f>
        <v>46.263823445582901</v>
      </c>
      <c r="R26" s="34"/>
      <c r="S26" s="33"/>
      <c r="T26" s="103">
        <f>-10*LOG10(SUM(T5:T25))</f>
        <v>46.156670863268374</v>
      </c>
      <c r="U26" s="33"/>
      <c r="V26" s="33"/>
      <c r="W26" s="104">
        <f>-10*LOG10(SUM(W5:W25))</f>
        <v>45.472500262701672</v>
      </c>
      <c r="X26" s="34"/>
      <c r="Y26" s="33"/>
      <c r="Z26" s="103">
        <f>-10*LOG10(SUM(Z5:Z25))</f>
        <v>44.17968027136876</v>
      </c>
    </row>
    <row r="27" spans="2:26" x14ac:dyDescent="0.2">
      <c r="O27" s="15"/>
      <c r="P27" s="16"/>
      <c r="Q27" s="114">
        <f>ROUND(Q26,0)-P26</f>
        <v>-1</v>
      </c>
      <c r="R27" s="16"/>
      <c r="S27" s="16"/>
      <c r="T27" s="114">
        <f>ROUND(T26,0)-P26</f>
        <v>-1</v>
      </c>
      <c r="U27" s="16"/>
      <c r="V27" s="16"/>
      <c r="W27" s="114">
        <f>ROUND(W26,0)-P26</f>
        <v>-2</v>
      </c>
      <c r="X27" s="16"/>
      <c r="Y27" s="16"/>
      <c r="Z27" s="114">
        <f>ROUND(Z26,0)-P26</f>
        <v>-3</v>
      </c>
    </row>
    <row r="28" spans="2:26" x14ac:dyDescent="0.2">
      <c r="O28" s="18"/>
      <c r="P28" s="18"/>
      <c r="Q28" s="34"/>
      <c r="R28" s="18"/>
      <c r="S28" s="18"/>
      <c r="T28" s="34"/>
      <c r="U28" s="18"/>
      <c r="V28" s="18"/>
      <c r="W28" s="34"/>
      <c r="X28" s="18"/>
      <c r="Y28" s="18"/>
      <c r="Z28" s="34"/>
    </row>
    <row r="29" spans="2:26" x14ac:dyDescent="0.2">
      <c r="O29" s="18"/>
      <c r="P29" s="18"/>
      <c r="Q29" s="34"/>
      <c r="R29" s="18"/>
      <c r="S29" s="18"/>
      <c r="T29" s="34"/>
      <c r="U29" s="18"/>
      <c r="V29" s="18"/>
      <c r="W29" s="34"/>
      <c r="X29" s="18"/>
      <c r="Y29" s="18"/>
      <c r="Z29" s="34"/>
    </row>
    <row r="30" spans="2:26" x14ac:dyDescent="0.2">
      <c r="D30" s="2" t="s">
        <v>93</v>
      </c>
      <c r="O30" s="18"/>
      <c r="P30" s="18"/>
      <c r="Q30" s="34"/>
      <c r="R30" s="18"/>
      <c r="S30" s="18"/>
      <c r="T30" s="34"/>
      <c r="U30" s="18"/>
      <c r="V30" s="18"/>
      <c r="W30" s="34"/>
      <c r="X30" s="18"/>
      <c r="Y30" s="18"/>
      <c r="Z30" s="34"/>
    </row>
    <row r="31" spans="2:26" x14ac:dyDescent="0.2">
      <c r="O31" s="18"/>
      <c r="P31" s="18"/>
      <c r="Q31" s="34"/>
      <c r="R31" s="18"/>
      <c r="S31" s="18"/>
      <c r="T31" s="34"/>
      <c r="U31" s="18"/>
      <c r="V31" s="18"/>
      <c r="W31" s="34"/>
      <c r="X31" s="18"/>
      <c r="Y31" s="18"/>
      <c r="Z31" s="34"/>
    </row>
    <row r="32" spans="2:26" x14ac:dyDescent="0.2">
      <c r="F32" s="172" t="s">
        <v>43</v>
      </c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4"/>
    </row>
    <row r="33" spans="2:26" x14ac:dyDescent="0.2">
      <c r="B33" s="43" t="s">
        <v>43</v>
      </c>
      <c r="C33" s="44"/>
      <c r="D33" s="44"/>
      <c r="E33" s="44"/>
      <c r="F33" s="184"/>
      <c r="G33" s="162" t="s">
        <v>96</v>
      </c>
      <c r="H33" s="163"/>
      <c r="I33" s="163"/>
      <c r="J33" s="163"/>
      <c r="K33" s="186" t="s">
        <v>95</v>
      </c>
      <c r="L33" s="187"/>
      <c r="M33" s="187"/>
      <c r="N33" s="188"/>
      <c r="O33" s="189" t="s">
        <v>99</v>
      </c>
      <c r="P33" s="190"/>
      <c r="Q33" s="191"/>
      <c r="R33" s="192" t="s">
        <v>97</v>
      </c>
      <c r="S33" s="192"/>
      <c r="T33" s="193"/>
      <c r="U33" s="190" t="s">
        <v>100</v>
      </c>
      <c r="V33" s="190"/>
      <c r="W33" s="191"/>
      <c r="X33" s="192" t="s">
        <v>98</v>
      </c>
      <c r="Y33" s="192"/>
      <c r="Z33" s="193"/>
    </row>
    <row r="34" spans="2:26" ht="31" customHeight="1" x14ac:dyDescent="0.2">
      <c r="B34" s="28"/>
      <c r="C34" s="29"/>
      <c r="D34" s="29"/>
      <c r="E34" s="29" t="s">
        <v>50</v>
      </c>
      <c r="F34" s="185"/>
      <c r="G34" s="15" t="s">
        <v>94</v>
      </c>
      <c r="H34" s="16" t="s">
        <v>121</v>
      </c>
      <c r="I34" s="107" t="s">
        <v>115</v>
      </c>
      <c r="J34" s="16" t="s">
        <v>141</v>
      </c>
      <c r="K34" s="15" t="s">
        <v>94</v>
      </c>
      <c r="L34" s="16" t="s">
        <v>121</v>
      </c>
      <c r="M34" s="107" t="s">
        <v>115</v>
      </c>
      <c r="N34" s="16" t="s">
        <v>141</v>
      </c>
      <c r="O34" s="142" t="s">
        <v>126</v>
      </c>
      <c r="P34" s="143"/>
      <c r="Q34" s="145"/>
      <c r="R34" s="144" t="s">
        <v>126</v>
      </c>
      <c r="S34" s="144"/>
      <c r="T34" s="145"/>
      <c r="U34" s="144" t="s">
        <v>126</v>
      </c>
      <c r="V34" s="143"/>
      <c r="W34" s="145"/>
      <c r="X34" s="144" t="s">
        <v>126</v>
      </c>
      <c r="Y34" s="144"/>
      <c r="Z34" s="145"/>
    </row>
    <row r="35" spans="2:26" x14ac:dyDescent="0.2">
      <c r="B35" s="13">
        <v>50</v>
      </c>
      <c r="C35" s="33">
        <f>'3º Alta Frec'!J31</f>
        <v>11.488670616517417</v>
      </c>
      <c r="D35" s="33">
        <f>'3º Alta Frec'!T31</f>
        <v>19.923282190068214</v>
      </c>
      <c r="E35" s="34">
        <f t="shared" ref="E35:E55" si="19">COUNT(C35:D35)</f>
        <v>2</v>
      </c>
      <c r="F35" s="112">
        <f>-10*LOG10((10^(-C35/10)+10^(-D35/10))/E35)</f>
        <v>13.917001622924211</v>
      </c>
      <c r="G35" s="13"/>
      <c r="H35" s="18"/>
      <c r="I35" s="18"/>
      <c r="J35" s="18"/>
      <c r="K35" s="13"/>
      <c r="L35" s="18"/>
      <c r="M35" s="95"/>
      <c r="N35" s="96"/>
      <c r="O35" s="13"/>
      <c r="P35" s="18"/>
      <c r="Q35" s="97"/>
      <c r="R35" s="34">
        <v>-41</v>
      </c>
      <c r="S35" s="33">
        <f>R35-F35</f>
        <v>-54.917001622924211</v>
      </c>
      <c r="T35" s="97">
        <f>10^(S35/10)</f>
        <v>3.2232933909356136E-6</v>
      </c>
      <c r="U35" s="18"/>
      <c r="V35" s="18"/>
      <c r="W35" s="97"/>
      <c r="X35" s="34">
        <v>-25</v>
      </c>
      <c r="Y35" s="33">
        <f t="shared" ref="Y35:Y37" si="20">X35-F35</f>
        <v>-38.917001622924211</v>
      </c>
      <c r="Z35" s="97">
        <f t="shared" ref="Z35:Z55" si="21">10^(Y35/10)</f>
        <v>1.2832162117291658E-4</v>
      </c>
    </row>
    <row r="36" spans="2:26" x14ac:dyDescent="0.2">
      <c r="B36" s="13">
        <v>63</v>
      </c>
      <c r="C36" s="33">
        <f>'3º Alta Frec'!J32</f>
        <v>8.3519583772817452</v>
      </c>
      <c r="D36" s="33">
        <f>'3º Alta Frec'!T32</f>
        <v>30.933429656351464</v>
      </c>
      <c r="E36" s="34">
        <f t="shared" si="19"/>
        <v>2</v>
      </c>
      <c r="F36" s="112">
        <f>-10*LOG10((10^(-C36/10)+10^(-D36/10))/E36)</f>
        <v>11.338355933628531</v>
      </c>
      <c r="G36" s="13"/>
      <c r="H36" s="18"/>
      <c r="I36" s="18"/>
      <c r="J36" s="18"/>
      <c r="K36" s="13"/>
      <c r="L36" s="18"/>
      <c r="M36" s="95"/>
      <c r="N36" s="96"/>
      <c r="O36" s="13"/>
      <c r="P36" s="18"/>
      <c r="Q36" s="97"/>
      <c r="R36" s="34">
        <v>-37</v>
      </c>
      <c r="S36" s="33">
        <f t="shared" ref="S36:S37" si="22">R36-F36</f>
        <v>-48.338355933628534</v>
      </c>
      <c r="T36" s="97">
        <f t="shared" ref="T36:T55" si="23">10^(S36/10)</f>
        <v>1.4661027441705671E-5</v>
      </c>
      <c r="U36" s="18"/>
      <c r="V36" s="18"/>
      <c r="W36" s="97"/>
      <c r="X36" s="34">
        <v>-23</v>
      </c>
      <c r="Y36" s="33">
        <f>X36-F36</f>
        <v>-34.338355933628534</v>
      </c>
      <c r="Z36" s="97">
        <f t="shared" si="21"/>
        <v>3.6826835902810151E-4</v>
      </c>
    </row>
    <row r="37" spans="2:26" x14ac:dyDescent="0.2">
      <c r="B37" s="13">
        <v>80</v>
      </c>
      <c r="C37" s="33">
        <f>'3º Alta Frec'!J33</f>
        <v>7.1280673184234988</v>
      </c>
      <c r="D37" s="33">
        <f>'3º Alta Frec'!T33</f>
        <v>15.604175735668784</v>
      </c>
      <c r="E37" s="34">
        <f t="shared" si="19"/>
        <v>2</v>
      </c>
      <c r="F37" s="112">
        <f>-10*LOG10((10^(-C37/10)+10^(-D37/10))/E37)</f>
        <v>9.5615808679461072</v>
      </c>
      <c r="G37" s="13"/>
      <c r="H37" s="18"/>
      <c r="I37" s="18"/>
      <c r="J37" s="18"/>
      <c r="K37" s="13"/>
      <c r="L37" s="18"/>
      <c r="M37" s="95"/>
      <c r="N37" s="96"/>
      <c r="O37" s="13"/>
      <c r="P37" s="18"/>
      <c r="Q37" s="97"/>
      <c r="R37" s="34">
        <v>-34</v>
      </c>
      <c r="S37" s="33">
        <f t="shared" si="22"/>
        <v>-43.561580867946105</v>
      </c>
      <c r="T37" s="97">
        <f t="shared" si="23"/>
        <v>4.4039452706476686E-5</v>
      </c>
      <c r="U37" s="18"/>
      <c r="V37" s="18"/>
      <c r="W37" s="97"/>
      <c r="X37" s="34">
        <v>-21</v>
      </c>
      <c r="Y37" s="33">
        <f t="shared" si="20"/>
        <v>-30.561580867946105</v>
      </c>
      <c r="Z37" s="97">
        <f t="shared" si="21"/>
        <v>8.7870260357087089E-4</v>
      </c>
    </row>
    <row r="38" spans="2:26" x14ac:dyDescent="0.2">
      <c r="B38" s="13">
        <v>100</v>
      </c>
      <c r="C38" s="33">
        <f>'3º Alta Frec'!J34</f>
        <v>18.465570717042315</v>
      </c>
      <c r="D38" s="33">
        <f>'3º Alta Frec'!T34</f>
        <v>22.41482934744575</v>
      </c>
      <c r="E38" s="34">
        <f t="shared" si="19"/>
        <v>2</v>
      </c>
      <c r="F38" s="112">
        <f t="shared" ref="F38:F55" si="24">-10*LOG10((10^(-C38/10)+10^(-D38/10))/E38)</f>
        <v>20.005957105015714</v>
      </c>
      <c r="G38" s="13">
        <v>33</v>
      </c>
      <c r="H38" s="18">
        <f>G38-27</f>
        <v>6</v>
      </c>
      <c r="I38" s="18">
        <f>G38-28</f>
        <v>5</v>
      </c>
      <c r="J38" s="18">
        <f>G38-29</f>
        <v>4</v>
      </c>
      <c r="K38" s="79">
        <f t="shared" ref="K38:K53" si="25">IF((F38-G38)&gt;0,F38-G38,0)</f>
        <v>0</v>
      </c>
      <c r="L38" s="33">
        <f t="shared" ref="L38:L53" si="26">IF((F38-H38)&gt;0,F38-H38,0)</f>
        <v>14.005957105015714</v>
      </c>
      <c r="M38" s="98">
        <f t="shared" ref="M38:M53" si="27">IF((F38-I38)&gt;0,F38-I38,0)</f>
        <v>15.005957105015714</v>
      </c>
      <c r="N38" s="66">
        <f t="shared" ref="N38:N53" si="28">IF((F38-J38)&gt;0,F38-J38,0)</f>
        <v>16.005957105015714</v>
      </c>
      <c r="O38" s="99">
        <v>-29</v>
      </c>
      <c r="P38" s="33">
        <f>O38-F38</f>
        <v>-49.00595710501571</v>
      </c>
      <c r="Q38" s="97">
        <f>10^(P38/10)</f>
        <v>1.2571997601733692E-5</v>
      </c>
      <c r="R38" s="34">
        <v>-30</v>
      </c>
      <c r="S38" s="33">
        <f>R38-F38</f>
        <v>-50.00595710501571</v>
      </c>
      <c r="T38" s="97">
        <f>10^(S38/10)</f>
        <v>9.9862926619430339E-6</v>
      </c>
      <c r="U38" s="34">
        <v>-20</v>
      </c>
      <c r="V38" s="33">
        <f>U38-F38</f>
        <v>-40.00595710501571</v>
      </c>
      <c r="W38" s="97">
        <f>10^(V38/10)</f>
        <v>9.9862926619430451E-5</v>
      </c>
      <c r="X38" s="34">
        <v>-20</v>
      </c>
      <c r="Y38" s="33">
        <f>X38-F38</f>
        <v>-40.00595710501571</v>
      </c>
      <c r="Z38" s="97">
        <f>10^(Y38/10)</f>
        <v>9.9862926619430451E-5</v>
      </c>
    </row>
    <row r="39" spans="2:26" x14ac:dyDescent="0.2">
      <c r="B39" s="13">
        <v>125</v>
      </c>
      <c r="C39" s="33">
        <f>'3º Alta Frec'!J35</f>
        <v>14.737214261724407</v>
      </c>
      <c r="D39" s="33">
        <f>'3º Alta Frec'!T35</f>
        <v>22.371978483469849</v>
      </c>
      <c r="E39" s="34">
        <f t="shared" si="19"/>
        <v>2</v>
      </c>
      <c r="F39" s="112">
        <f t="shared" si="24"/>
        <v>17.056776242090919</v>
      </c>
      <c r="G39" s="13">
        <v>36</v>
      </c>
      <c r="H39" s="18">
        <f t="shared" ref="H39:H53" si="29">G39-27</f>
        <v>9</v>
      </c>
      <c r="I39" s="18">
        <f t="shared" ref="I39:I53" si="30">G39-28</f>
        <v>8</v>
      </c>
      <c r="J39" s="18">
        <f t="shared" ref="J39:J53" si="31">G39-29</f>
        <v>7</v>
      </c>
      <c r="K39" s="79">
        <f t="shared" si="25"/>
        <v>0</v>
      </c>
      <c r="L39" s="33">
        <f t="shared" si="26"/>
        <v>8.056776242090919</v>
      </c>
      <c r="M39" s="98">
        <f t="shared" si="27"/>
        <v>9.056776242090919</v>
      </c>
      <c r="N39" s="66">
        <f t="shared" si="28"/>
        <v>10.056776242090919</v>
      </c>
      <c r="O39" s="99">
        <v>-26</v>
      </c>
      <c r="P39" s="33">
        <f t="shared" ref="P39:P53" si="32">O39-F39</f>
        <v>-43.056776242090919</v>
      </c>
      <c r="Q39" s="97">
        <f t="shared" ref="Q39:Q52" si="33">10^(P39/10)</f>
        <v>4.9467774888591375E-5</v>
      </c>
      <c r="R39" s="34">
        <v>-27</v>
      </c>
      <c r="S39" s="33">
        <f t="shared" ref="S39:S55" si="34">R39-F39</f>
        <v>-44.056776242090919</v>
      </c>
      <c r="T39" s="97">
        <f t="shared" si="23"/>
        <v>3.9293650302992897E-5</v>
      </c>
      <c r="U39" s="34">
        <v>-20</v>
      </c>
      <c r="V39" s="33">
        <f>U39-F39</f>
        <v>-37.056776242090919</v>
      </c>
      <c r="W39" s="97">
        <f t="shared" ref="W39:W53" si="35">10^(V39/10)</f>
        <v>1.9693475894474449E-4</v>
      </c>
      <c r="X39" s="34">
        <v>-20</v>
      </c>
      <c r="Y39" s="33">
        <f t="shared" ref="Y39:Y55" si="36">X39-F39</f>
        <v>-37.056776242090919</v>
      </c>
      <c r="Z39" s="97">
        <f t="shared" si="21"/>
        <v>1.9693475894474449E-4</v>
      </c>
    </row>
    <row r="40" spans="2:26" x14ac:dyDescent="0.2">
      <c r="B40" s="13">
        <v>160</v>
      </c>
      <c r="C40" s="33">
        <f>'3º Alta Frec'!J36</f>
        <v>15.040810255060666</v>
      </c>
      <c r="D40" s="33">
        <f>'3º Alta Frec'!T36</f>
        <v>17.643861094809584</v>
      </c>
      <c r="E40" s="34">
        <f t="shared" si="19"/>
        <v>2</v>
      </c>
      <c r="F40" s="112">
        <f t="shared" si="24"/>
        <v>16.150161573648674</v>
      </c>
      <c r="G40" s="13">
        <v>39</v>
      </c>
      <c r="H40" s="18">
        <f t="shared" si="29"/>
        <v>12</v>
      </c>
      <c r="I40" s="18">
        <f t="shared" si="30"/>
        <v>11</v>
      </c>
      <c r="J40" s="18">
        <f t="shared" si="31"/>
        <v>10</v>
      </c>
      <c r="K40" s="79">
        <f t="shared" si="25"/>
        <v>0</v>
      </c>
      <c r="L40" s="33">
        <f t="shared" si="26"/>
        <v>4.1501615736486741</v>
      </c>
      <c r="M40" s="98">
        <f t="shared" si="27"/>
        <v>5.1501615736486741</v>
      </c>
      <c r="N40" s="66">
        <f t="shared" si="28"/>
        <v>6.1501615736486741</v>
      </c>
      <c r="O40" s="99">
        <v>-23</v>
      </c>
      <c r="P40" s="33">
        <f t="shared" si="32"/>
        <v>-39.150161573648674</v>
      </c>
      <c r="Q40" s="97">
        <f t="shared" si="33"/>
        <v>1.2161407548598108E-4</v>
      </c>
      <c r="R40" s="34">
        <v>-24</v>
      </c>
      <c r="S40" s="33">
        <f t="shared" si="34"/>
        <v>-40.150161573648674</v>
      </c>
      <c r="T40" s="97">
        <f t="shared" si="23"/>
        <v>9.6601493898404954E-5</v>
      </c>
      <c r="U40" s="34">
        <v>-18</v>
      </c>
      <c r="V40" s="33">
        <f t="shared" ref="V40:V53" si="37">U40-F40</f>
        <v>-34.150161573648674</v>
      </c>
      <c r="W40" s="97">
        <f t="shared" si="35"/>
        <v>3.8457747407134917E-4</v>
      </c>
      <c r="X40" s="34">
        <v>-18</v>
      </c>
      <c r="Y40" s="33">
        <f t="shared" si="36"/>
        <v>-34.150161573648674</v>
      </c>
      <c r="Z40" s="97">
        <f t="shared" si="21"/>
        <v>3.8457747407134917E-4</v>
      </c>
    </row>
    <row r="41" spans="2:26" x14ac:dyDescent="0.2">
      <c r="B41" s="13">
        <v>200</v>
      </c>
      <c r="C41" s="33">
        <f>'3º Alta Frec'!J37</f>
        <v>15.032840676319189</v>
      </c>
      <c r="D41" s="33">
        <f>'3º Alta Frec'!T37</f>
        <v>11.790490447776655</v>
      </c>
      <c r="E41" s="34">
        <f t="shared" si="19"/>
        <v>2</v>
      </c>
      <c r="F41" s="112">
        <f t="shared" si="24"/>
        <v>13.115858545578995</v>
      </c>
      <c r="G41" s="13">
        <v>42</v>
      </c>
      <c r="H41" s="18">
        <f t="shared" si="29"/>
        <v>15</v>
      </c>
      <c r="I41" s="18">
        <f t="shared" si="30"/>
        <v>14</v>
      </c>
      <c r="J41" s="18">
        <f t="shared" si="31"/>
        <v>13</v>
      </c>
      <c r="K41" s="79">
        <f t="shared" si="25"/>
        <v>0</v>
      </c>
      <c r="L41" s="33">
        <f t="shared" si="26"/>
        <v>0</v>
      </c>
      <c r="M41" s="98">
        <f t="shared" si="27"/>
        <v>0</v>
      </c>
      <c r="N41" s="66">
        <f t="shared" si="28"/>
        <v>0.11585854557899466</v>
      </c>
      <c r="O41" s="99">
        <v>-21</v>
      </c>
      <c r="P41" s="33">
        <f t="shared" si="32"/>
        <v>-34.115858545578995</v>
      </c>
      <c r="Q41" s="97">
        <f t="shared" si="33"/>
        <v>3.8762711192989876E-4</v>
      </c>
      <c r="R41" s="34">
        <v>-22</v>
      </c>
      <c r="S41" s="33">
        <f t="shared" si="34"/>
        <v>-35.115858545578995</v>
      </c>
      <c r="T41" s="97">
        <f t="shared" si="23"/>
        <v>3.0790315955054828E-4</v>
      </c>
      <c r="U41" s="34">
        <v>-16</v>
      </c>
      <c r="V41" s="33">
        <f t="shared" si="37"/>
        <v>-29.115858545578995</v>
      </c>
      <c r="W41" s="97">
        <f t="shared" si="35"/>
        <v>1.2257845565315064E-3</v>
      </c>
      <c r="X41" s="34">
        <v>-16</v>
      </c>
      <c r="Y41" s="33">
        <f t="shared" si="36"/>
        <v>-29.115858545578995</v>
      </c>
      <c r="Z41" s="97">
        <f t="shared" si="21"/>
        <v>1.2257845565315064E-3</v>
      </c>
    </row>
    <row r="42" spans="2:26" x14ac:dyDescent="0.2">
      <c r="B42" s="13">
        <v>250</v>
      </c>
      <c r="C42" s="33">
        <f>'3º Alta Frec'!J38</f>
        <v>17.078698044210451</v>
      </c>
      <c r="D42" s="33">
        <f>'3º Alta Frec'!T38</f>
        <v>9.0941026657737556</v>
      </c>
      <c r="E42" s="34">
        <f t="shared" si="19"/>
        <v>2</v>
      </c>
      <c r="F42" s="112">
        <f t="shared" si="24"/>
        <v>11.463371593569571</v>
      </c>
      <c r="G42" s="100">
        <v>45</v>
      </c>
      <c r="H42" s="18">
        <f t="shared" si="29"/>
        <v>18</v>
      </c>
      <c r="I42" s="18">
        <f t="shared" si="30"/>
        <v>17</v>
      </c>
      <c r="J42" s="18">
        <f t="shared" si="31"/>
        <v>16</v>
      </c>
      <c r="K42" s="79">
        <f t="shared" si="25"/>
        <v>0</v>
      </c>
      <c r="L42" s="33">
        <f t="shared" si="26"/>
        <v>0</v>
      </c>
      <c r="M42" s="98">
        <f t="shared" si="27"/>
        <v>0</v>
      </c>
      <c r="N42" s="66">
        <f t="shared" si="28"/>
        <v>0</v>
      </c>
      <c r="O42" s="99">
        <v>-19</v>
      </c>
      <c r="P42" s="33">
        <f t="shared" si="32"/>
        <v>-30.463371593569569</v>
      </c>
      <c r="Q42" s="97">
        <f t="shared" si="33"/>
        <v>8.9879953827212754E-4</v>
      </c>
      <c r="R42" s="34">
        <v>-20</v>
      </c>
      <c r="S42" s="33">
        <f t="shared" si="34"/>
        <v>-31.463371593569569</v>
      </c>
      <c r="T42" s="97">
        <f t="shared" si="23"/>
        <v>7.1394185060669787E-4</v>
      </c>
      <c r="U42" s="34">
        <v>-15</v>
      </c>
      <c r="V42" s="33">
        <f t="shared" si="37"/>
        <v>-26.463371593569569</v>
      </c>
      <c r="W42" s="97">
        <f t="shared" si="35"/>
        <v>2.2576823648328324E-3</v>
      </c>
      <c r="X42" s="34">
        <v>-15</v>
      </c>
      <c r="Y42" s="33">
        <f t="shared" si="36"/>
        <v>-26.463371593569569</v>
      </c>
      <c r="Z42" s="97">
        <f t="shared" si="21"/>
        <v>2.2576823648328324E-3</v>
      </c>
    </row>
    <row r="43" spans="2:26" x14ac:dyDescent="0.2">
      <c r="B43" s="13">
        <v>315</v>
      </c>
      <c r="C43" s="33">
        <f>'3º Alta Frec'!J39</f>
        <v>16.309284067485915</v>
      </c>
      <c r="D43" s="33">
        <f>'3º Alta Frec'!T39</f>
        <v>15.960064480600959</v>
      </c>
      <c r="E43" s="34">
        <f t="shared" si="19"/>
        <v>2</v>
      </c>
      <c r="F43" s="112">
        <f t="shared" si="24"/>
        <v>16.131165091820495</v>
      </c>
      <c r="G43" s="100">
        <v>48</v>
      </c>
      <c r="H43" s="18">
        <f t="shared" si="29"/>
        <v>21</v>
      </c>
      <c r="I43" s="18">
        <f t="shared" si="30"/>
        <v>20</v>
      </c>
      <c r="J43" s="18">
        <f t="shared" si="31"/>
        <v>19</v>
      </c>
      <c r="K43" s="79">
        <f t="shared" si="25"/>
        <v>0</v>
      </c>
      <c r="L43" s="33">
        <f t="shared" si="26"/>
        <v>0</v>
      </c>
      <c r="M43" s="98">
        <f t="shared" si="27"/>
        <v>0</v>
      </c>
      <c r="N43" s="66">
        <f t="shared" si="28"/>
        <v>0</v>
      </c>
      <c r="O43" s="99">
        <v>-17</v>
      </c>
      <c r="P43" s="33">
        <f t="shared" si="32"/>
        <v>-33.131165091820492</v>
      </c>
      <c r="Q43" s="97">
        <f t="shared" si="33"/>
        <v>4.8627673361064619E-4</v>
      </c>
      <c r="R43" s="34">
        <v>-18</v>
      </c>
      <c r="S43" s="33">
        <f t="shared" si="34"/>
        <v>-34.131165091820492</v>
      </c>
      <c r="T43" s="97">
        <f t="shared" si="23"/>
        <v>3.8626333939643432E-4</v>
      </c>
      <c r="U43" s="34">
        <v>-14</v>
      </c>
      <c r="V43" s="33">
        <f t="shared" si="37"/>
        <v>-30.131165091820495</v>
      </c>
      <c r="W43" s="97">
        <f t="shared" si="35"/>
        <v>9.702496412194822E-4</v>
      </c>
      <c r="X43" s="34">
        <v>-14</v>
      </c>
      <c r="Y43" s="33">
        <f t="shared" si="36"/>
        <v>-30.131165091820495</v>
      </c>
      <c r="Z43" s="97">
        <f t="shared" si="21"/>
        <v>9.702496412194822E-4</v>
      </c>
    </row>
    <row r="44" spans="2:26" x14ac:dyDescent="0.2">
      <c r="B44" s="13">
        <v>400</v>
      </c>
      <c r="C44" s="33">
        <f>'3º Alta Frec'!J40</f>
        <v>24.408425958158087</v>
      </c>
      <c r="D44" s="33">
        <f>'3º Alta Frec'!T40</f>
        <v>18.815425652090038</v>
      </c>
      <c r="E44" s="34">
        <f t="shared" si="19"/>
        <v>2</v>
      </c>
      <c r="F44" s="112">
        <f t="shared" si="24"/>
        <v>20.767671092222059</v>
      </c>
      <c r="G44" s="100">
        <v>51</v>
      </c>
      <c r="H44" s="18">
        <f t="shared" si="29"/>
        <v>24</v>
      </c>
      <c r="I44" s="18">
        <f t="shared" si="30"/>
        <v>23</v>
      </c>
      <c r="J44" s="18">
        <f t="shared" si="31"/>
        <v>22</v>
      </c>
      <c r="K44" s="79">
        <f t="shared" si="25"/>
        <v>0</v>
      </c>
      <c r="L44" s="33">
        <f t="shared" si="26"/>
        <v>0</v>
      </c>
      <c r="M44" s="98">
        <f t="shared" si="27"/>
        <v>0</v>
      </c>
      <c r="N44" s="66">
        <f t="shared" si="28"/>
        <v>0</v>
      </c>
      <c r="O44" s="99">
        <v>-15</v>
      </c>
      <c r="P44" s="33">
        <f t="shared" si="32"/>
        <v>-35.767671092222059</v>
      </c>
      <c r="Q44" s="97">
        <f t="shared" si="33"/>
        <v>2.6499207798888653E-4</v>
      </c>
      <c r="R44" s="34">
        <v>-16</v>
      </c>
      <c r="S44" s="33">
        <f t="shared" si="34"/>
        <v>-36.767671092222059</v>
      </c>
      <c r="T44" s="97">
        <f t="shared" si="23"/>
        <v>2.1049068952483157E-4</v>
      </c>
      <c r="U44" s="34">
        <v>-13</v>
      </c>
      <c r="V44" s="33">
        <f t="shared" si="37"/>
        <v>-33.767671092222059</v>
      </c>
      <c r="W44" s="97">
        <f t="shared" si="35"/>
        <v>4.1998414046071064E-4</v>
      </c>
      <c r="X44" s="34">
        <v>-13</v>
      </c>
      <c r="Y44" s="33">
        <f t="shared" si="36"/>
        <v>-33.767671092222059</v>
      </c>
      <c r="Z44" s="97">
        <f t="shared" si="21"/>
        <v>4.1998414046071064E-4</v>
      </c>
    </row>
    <row r="45" spans="2:26" x14ac:dyDescent="0.2">
      <c r="B45" s="13">
        <v>500</v>
      </c>
      <c r="C45" s="33">
        <f>'3º Alta Frec'!J41</f>
        <v>23.469410744140475</v>
      </c>
      <c r="D45" s="33">
        <f>'3º Alta Frec'!T41</f>
        <v>20.555136890962828</v>
      </c>
      <c r="E45" s="34">
        <f t="shared" si="19"/>
        <v>2</v>
      </c>
      <c r="F45" s="112">
        <f t="shared" si="24"/>
        <v>21.772279066582016</v>
      </c>
      <c r="G45" s="101">
        <v>52</v>
      </c>
      <c r="H45" s="18">
        <f t="shared" si="29"/>
        <v>25</v>
      </c>
      <c r="I45" s="95">
        <f t="shared" si="30"/>
        <v>24</v>
      </c>
      <c r="J45" s="18">
        <f t="shared" si="31"/>
        <v>23</v>
      </c>
      <c r="K45" s="79">
        <f t="shared" si="25"/>
        <v>0</v>
      </c>
      <c r="L45" s="33">
        <f t="shared" si="26"/>
        <v>0</v>
      </c>
      <c r="M45" s="98">
        <f t="shared" si="27"/>
        <v>0</v>
      </c>
      <c r="N45" s="66">
        <f t="shared" si="28"/>
        <v>0</v>
      </c>
      <c r="O45" s="99">
        <v>-13</v>
      </c>
      <c r="P45" s="33">
        <f t="shared" si="32"/>
        <v>-34.772279066582016</v>
      </c>
      <c r="Q45" s="97">
        <f t="shared" si="33"/>
        <v>3.3325148499576432E-4</v>
      </c>
      <c r="R45" s="34">
        <v>-14</v>
      </c>
      <c r="S45" s="33">
        <f t="shared" si="34"/>
        <v>-35.772279066582016</v>
      </c>
      <c r="T45" s="97">
        <f t="shared" si="23"/>
        <v>2.6471106379593066E-4</v>
      </c>
      <c r="U45" s="34">
        <v>-12</v>
      </c>
      <c r="V45" s="33">
        <f t="shared" si="37"/>
        <v>-33.772279066582016</v>
      </c>
      <c r="W45" s="97">
        <f t="shared" si="35"/>
        <v>4.1953876297931033E-4</v>
      </c>
      <c r="X45" s="34">
        <v>-12</v>
      </c>
      <c r="Y45" s="33">
        <f t="shared" si="36"/>
        <v>-33.772279066582016</v>
      </c>
      <c r="Z45" s="97">
        <f t="shared" si="21"/>
        <v>4.1953876297931033E-4</v>
      </c>
    </row>
    <row r="46" spans="2:26" x14ac:dyDescent="0.2">
      <c r="B46" s="13">
        <v>630</v>
      </c>
      <c r="C46" s="33">
        <f>'3º Alta Frec'!J42</f>
        <v>23.563776368686092</v>
      </c>
      <c r="D46" s="33">
        <f>'3º Alta Frec'!T42</f>
        <v>22.502199754358543</v>
      </c>
      <c r="E46" s="34">
        <f t="shared" si="19"/>
        <v>2</v>
      </c>
      <c r="F46" s="112">
        <f t="shared" si="24"/>
        <v>23.00063241110476</v>
      </c>
      <c r="G46" s="13">
        <v>53</v>
      </c>
      <c r="H46" s="18">
        <f t="shared" si="29"/>
        <v>26</v>
      </c>
      <c r="I46" s="18">
        <f t="shared" si="30"/>
        <v>25</v>
      </c>
      <c r="J46" s="18">
        <f t="shared" si="31"/>
        <v>24</v>
      </c>
      <c r="K46" s="79">
        <f t="shared" si="25"/>
        <v>0</v>
      </c>
      <c r="L46" s="33">
        <f t="shared" si="26"/>
        <v>0</v>
      </c>
      <c r="M46" s="98">
        <f t="shared" si="27"/>
        <v>0</v>
      </c>
      <c r="N46" s="66">
        <f t="shared" si="28"/>
        <v>0</v>
      </c>
      <c r="O46" s="99">
        <v>-12</v>
      </c>
      <c r="P46" s="33">
        <f t="shared" si="32"/>
        <v>-35.00063241110476</v>
      </c>
      <c r="Q46" s="97">
        <f t="shared" si="33"/>
        <v>3.1618172090249245E-4</v>
      </c>
      <c r="R46" s="34">
        <v>-13</v>
      </c>
      <c r="S46" s="33">
        <f t="shared" si="34"/>
        <v>-36.00063241110476</v>
      </c>
      <c r="T46" s="97">
        <f t="shared" si="23"/>
        <v>2.511520682165621E-4</v>
      </c>
      <c r="U46" s="34">
        <v>-11</v>
      </c>
      <c r="V46" s="33">
        <f t="shared" si="37"/>
        <v>-34.00063241110476</v>
      </c>
      <c r="W46" s="97">
        <f t="shared" si="35"/>
        <v>3.980492031889587E-4</v>
      </c>
      <c r="X46" s="34">
        <v>-11</v>
      </c>
      <c r="Y46" s="33">
        <f t="shared" si="36"/>
        <v>-34.00063241110476</v>
      </c>
      <c r="Z46" s="97">
        <f t="shared" si="21"/>
        <v>3.980492031889587E-4</v>
      </c>
    </row>
    <row r="47" spans="2:26" x14ac:dyDescent="0.2">
      <c r="B47" s="13">
        <v>800</v>
      </c>
      <c r="C47" s="33">
        <f>'3º Alta Frec'!J43</f>
        <v>26.224151489977721</v>
      </c>
      <c r="D47" s="33">
        <f>'3º Alta Frec'!T43</f>
        <v>22.631153365456207</v>
      </c>
      <c r="E47" s="34">
        <f t="shared" si="19"/>
        <v>2</v>
      </c>
      <c r="F47" s="112">
        <f t="shared" si="24"/>
        <v>24.066220291017775</v>
      </c>
      <c r="G47" s="13">
        <v>54</v>
      </c>
      <c r="H47" s="18">
        <f t="shared" si="29"/>
        <v>27</v>
      </c>
      <c r="I47" s="18">
        <f t="shared" si="30"/>
        <v>26</v>
      </c>
      <c r="J47" s="18">
        <f t="shared" si="31"/>
        <v>25</v>
      </c>
      <c r="K47" s="79">
        <f t="shared" si="25"/>
        <v>0</v>
      </c>
      <c r="L47" s="33">
        <f t="shared" si="26"/>
        <v>0</v>
      </c>
      <c r="M47" s="98">
        <f t="shared" si="27"/>
        <v>0</v>
      </c>
      <c r="N47" s="66">
        <f t="shared" si="28"/>
        <v>0</v>
      </c>
      <c r="O47" s="99">
        <v>-11</v>
      </c>
      <c r="P47" s="33">
        <f t="shared" si="32"/>
        <v>-35.066220291017771</v>
      </c>
      <c r="Q47" s="97">
        <f t="shared" si="33"/>
        <v>3.1144256742470725E-4</v>
      </c>
      <c r="R47" s="34">
        <v>-12</v>
      </c>
      <c r="S47" s="33">
        <f t="shared" si="34"/>
        <v>-36.066220291017771</v>
      </c>
      <c r="T47" s="97">
        <f t="shared" si="23"/>
        <v>2.4738762480046555E-4</v>
      </c>
      <c r="U47" s="34">
        <v>-9</v>
      </c>
      <c r="V47" s="33">
        <f t="shared" si="37"/>
        <v>-33.066220291017771</v>
      </c>
      <c r="W47" s="97">
        <f t="shared" si="35"/>
        <v>4.9360320495403032E-4</v>
      </c>
      <c r="X47" s="34">
        <v>-9</v>
      </c>
      <c r="Y47" s="33">
        <f t="shared" si="36"/>
        <v>-33.066220291017771</v>
      </c>
      <c r="Z47" s="97">
        <f t="shared" si="21"/>
        <v>4.9360320495403032E-4</v>
      </c>
    </row>
    <row r="48" spans="2:26" x14ac:dyDescent="0.2">
      <c r="B48" s="13">
        <v>1000</v>
      </c>
      <c r="C48" s="33">
        <f>'3º Alta Frec'!J44</f>
        <v>26.438408705336052</v>
      </c>
      <c r="D48" s="33">
        <f>'3º Alta Frec'!T44</f>
        <v>21.820293724952954</v>
      </c>
      <c r="E48" s="34">
        <f t="shared" si="19"/>
        <v>2</v>
      </c>
      <c r="F48" s="112">
        <f t="shared" si="24"/>
        <v>23.542422989279864</v>
      </c>
      <c r="G48" s="13">
        <v>55</v>
      </c>
      <c r="H48" s="18">
        <f t="shared" si="29"/>
        <v>28</v>
      </c>
      <c r="I48" s="18">
        <f t="shared" si="30"/>
        <v>27</v>
      </c>
      <c r="J48" s="18">
        <f t="shared" si="31"/>
        <v>26</v>
      </c>
      <c r="K48" s="79">
        <f t="shared" si="25"/>
        <v>0</v>
      </c>
      <c r="L48" s="33">
        <f t="shared" si="26"/>
        <v>0</v>
      </c>
      <c r="M48" s="98">
        <f t="shared" si="27"/>
        <v>0</v>
      </c>
      <c r="N48" s="66">
        <f t="shared" si="28"/>
        <v>0</v>
      </c>
      <c r="O48" s="99">
        <v>-10</v>
      </c>
      <c r="P48" s="33">
        <f t="shared" si="32"/>
        <v>-33.542422989279864</v>
      </c>
      <c r="Q48" s="97">
        <f t="shared" si="33"/>
        <v>4.4234151502684291E-4</v>
      </c>
      <c r="R48" s="34">
        <v>-11</v>
      </c>
      <c r="S48" s="33">
        <f t="shared" si="34"/>
        <v>-34.542422989279864</v>
      </c>
      <c r="T48" s="97">
        <f t="shared" si="23"/>
        <v>3.5136435477653666E-4</v>
      </c>
      <c r="U48" s="34">
        <v>-8</v>
      </c>
      <c r="V48" s="33">
        <f t="shared" si="37"/>
        <v>-31.542422989279864</v>
      </c>
      <c r="W48" s="97">
        <f t="shared" si="35"/>
        <v>7.010640559089791E-4</v>
      </c>
      <c r="X48" s="34">
        <v>-8</v>
      </c>
      <c r="Y48" s="33">
        <f t="shared" si="36"/>
        <v>-31.542422989279864</v>
      </c>
      <c r="Z48" s="97">
        <f t="shared" si="21"/>
        <v>7.010640559089791E-4</v>
      </c>
    </row>
    <row r="49" spans="2:26" x14ac:dyDescent="0.2">
      <c r="B49" s="13">
        <v>1250</v>
      </c>
      <c r="C49" s="33">
        <f>'3º Alta Frec'!J45</f>
        <v>25.254770734439681</v>
      </c>
      <c r="D49" s="33">
        <f>'3º Alta Frec'!T45</f>
        <v>21.924916877757148</v>
      </c>
      <c r="E49" s="34">
        <f t="shared" si="19"/>
        <v>2</v>
      </c>
      <c r="F49" s="112">
        <f t="shared" si="24"/>
        <v>23.278231421794217</v>
      </c>
      <c r="G49" s="13">
        <v>56</v>
      </c>
      <c r="H49" s="18">
        <f t="shared" si="29"/>
        <v>29</v>
      </c>
      <c r="I49" s="18">
        <f t="shared" si="30"/>
        <v>28</v>
      </c>
      <c r="J49" s="18">
        <f t="shared" si="31"/>
        <v>27</v>
      </c>
      <c r="K49" s="79">
        <f t="shared" si="25"/>
        <v>0</v>
      </c>
      <c r="L49" s="33">
        <f t="shared" si="26"/>
        <v>0</v>
      </c>
      <c r="M49" s="98">
        <f t="shared" si="27"/>
        <v>0</v>
      </c>
      <c r="N49" s="66">
        <f t="shared" si="28"/>
        <v>0</v>
      </c>
      <c r="O49" s="99">
        <v>-9</v>
      </c>
      <c r="P49" s="33">
        <f t="shared" si="32"/>
        <v>-32.278231421794217</v>
      </c>
      <c r="Q49" s="97">
        <f t="shared" si="33"/>
        <v>5.9180258498486577E-4</v>
      </c>
      <c r="R49" s="34">
        <v>-10</v>
      </c>
      <c r="S49" s="33">
        <f t="shared" si="34"/>
        <v>-33.278231421794217</v>
      </c>
      <c r="T49" s="97">
        <f t="shared" si="23"/>
        <v>4.7008550263629551E-4</v>
      </c>
      <c r="U49" s="34">
        <v>-9</v>
      </c>
      <c r="V49" s="33">
        <f t="shared" si="37"/>
        <v>-32.278231421794217</v>
      </c>
      <c r="W49" s="97">
        <f t="shared" si="35"/>
        <v>5.9180258498486577E-4</v>
      </c>
      <c r="X49" s="34">
        <v>-9</v>
      </c>
      <c r="Y49" s="33">
        <f t="shared" si="36"/>
        <v>-32.278231421794217</v>
      </c>
      <c r="Z49" s="97">
        <f t="shared" si="21"/>
        <v>5.9180258498486577E-4</v>
      </c>
    </row>
    <row r="50" spans="2:26" x14ac:dyDescent="0.2">
      <c r="B50" s="13">
        <v>1600</v>
      </c>
      <c r="C50" s="33">
        <f>'3º Alta Frec'!J46</f>
        <v>25.612950751989292</v>
      </c>
      <c r="D50" s="33">
        <f>'3º Alta Frec'!T46</f>
        <v>22.208114161762115</v>
      </c>
      <c r="E50" s="34">
        <f t="shared" si="19"/>
        <v>2</v>
      </c>
      <c r="F50" s="112">
        <f t="shared" si="24"/>
        <v>23.58507239531172</v>
      </c>
      <c r="G50" s="13">
        <v>56</v>
      </c>
      <c r="H50" s="18">
        <f t="shared" si="29"/>
        <v>29</v>
      </c>
      <c r="I50" s="18">
        <f t="shared" si="30"/>
        <v>28</v>
      </c>
      <c r="J50" s="18">
        <f t="shared" si="31"/>
        <v>27</v>
      </c>
      <c r="K50" s="79">
        <f t="shared" si="25"/>
        <v>0</v>
      </c>
      <c r="L50" s="33">
        <f t="shared" si="26"/>
        <v>0</v>
      </c>
      <c r="M50" s="98">
        <f t="shared" si="27"/>
        <v>0</v>
      </c>
      <c r="N50" s="66">
        <f t="shared" si="28"/>
        <v>0</v>
      </c>
      <c r="O50" s="99">
        <v>-9</v>
      </c>
      <c r="P50" s="33">
        <f t="shared" si="32"/>
        <v>-32.58507239531172</v>
      </c>
      <c r="Q50" s="97">
        <f t="shared" si="33"/>
        <v>5.514330101172633E-4</v>
      </c>
      <c r="R50" s="34">
        <v>-10</v>
      </c>
      <c r="S50" s="33">
        <f t="shared" si="34"/>
        <v>-33.58507239531172</v>
      </c>
      <c r="T50" s="97">
        <f t="shared" si="23"/>
        <v>4.3801880949514261E-4</v>
      </c>
      <c r="U50" s="34">
        <v>-10</v>
      </c>
      <c r="V50" s="33">
        <f t="shared" si="37"/>
        <v>-33.58507239531172</v>
      </c>
      <c r="W50" s="97">
        <f t="shared" si="35"/>
        <v>4.3801880949514261E-4</v>
      </c>
      <c r="X50" s="34">
        <v>-10</v>
      </c>
      <c r="Y50" s="33">
        <f t="shared" si="36"/>
        <v>-33.58507239531172</v>
      </c>
      <c r="Z50" s="97">
        <f t="shared" si="21"/>
        <v>4.3801880949514261E-4</v>
      </c>
    </row>
    <row r="51" spans="2:26" x14ac:dyDescent="0.2">
      <c r="B51" s="13">
        <v>2000</v>
      </c>
      <c r="C51" s="33">
        <f>'3º Alta Frec'!J47</f>
        <v>22.064970718070068</v>
      </c>
      <c r="D51" s="33">
        <f>'3º Alta Frec'!T47</f>
        <v>20.842874666829754</v>
      </c>
      <c r="E51" s="34">
        <f t="shared" si="19"/>
        <v>2</v>
      </c>
      <c r="F51" s="112">
        <f t="shared" si="24"/>
        <v>21.411076852541914</v>
      </c>
      <c r="G51" s="13">
        <v>56</v>
      </c>
      <c r="H51" s="18">
        <f t="shared" si="29"/>
        <v>29</v>
      </c>
      <c r="I51" s="18">
        <f t="shared" si="30"/>
        <v>28</v>
      </c>
      <c r="J51" s="18">
        <f t="shared" si="31"/>
        <v>27</v>
      </c>
      <c r="K51" s="79">
        <f t="shared" si="25"/>
        <v>0</v>
      </c>
      <c r="L51" s="33">
        <f t="shared" si="26"/>
        <v>0</v>
      </c>
      <c r="M51" s="98">
        <f t="shared" si="27"/>
        <v>0</v>
      </c>
      <c r="N51" s="66">
        <f t="shared" si="28"/>
        <v>0</v>
      </c>
      <c r="O51" s="99">
        <v>-9</v>
      </c>
      <c r="P51" s="33">
        <f t="shared" si="32"/>
        <v>-30.411076852541914</v>
      </c>
      <c r="Q51" s="97">
        <f t="shared" si="33"/>
        <v>9.0968768354621134E-4</v>
      </c>
      <c r="R51" s="34">
        <v>-10</v>
      </c>
      <c r="S51" s="33">
        <f t="shared" si="34"/>
        <v>-31.411076852541914</v>
      </c>
      <c r="T51" s="97">
        <f t="shared" si="23"/>
        <v>7.2259061182168289E-4</v>
      </c>
      <c r="U51" s="34">
        <v>-11</v>
      </c>
      <c r="V51" s="33">
        <f t="shared" si="37"/>
        <v>-32.41107685254191</v>
      </c>
      <c r="W51" s="97">
        <f t="shared" si="35"/>
        <v>5.739741251166565E-4</v>
      </c>
      <c r="X51" s="34">
        <v>-11</v>
      </c>
      <c r="Y51" s="33">
        <f t="shared" si="36"/>
        <v>-32.41107685254191</v>
      </c>
      <c r="Z51" s="97">
        <f t="shared" si="21"/>
        <v>5.739741251166565E-4</v>
      </c>
    </row>
    <row r="52" spans="2:26" x14ac:dyDescent="0.2">
      <c r="B52" s="13">
        <v>2500</v>
      </c>
      <c r="C52" s="33">
        <f>'3º Alta Frec'!J48</f>
        <v>17.979617956758158</v>
      </c>
      <c r="D52" s="33">
        <f>'3º Alta Frec'!T48</f>
        <v>18.940339044203181</v>
      </c>
      <c r="E52" s="34">
        <f t="shared" si="19"/>
        <v>2</v>
      </c>
      <c r="F52" s="112">
        <f t="shared" si="24"/>
        <v>18.433466847462196</v>
      </c>
      <c r="G52" s="13">
        <v>56</v>
      </c>
      <c r="H52" s="18">
        <f t="shared" si="29"/>
        <v>29</v>
      </c>
      <c r="I52" s="18">
        <f t="shared" si="30"/>
        <v>28</v>
      </c>
      <c r="J52" s="18">
        <f t="shared" si="31"/>
        <v>27</v>
      </c>
      <c r="K52" s="79">
        <f t="shared" si="25"/>
        <v>0</v>
      </c>
      <c r="L52" s="33">
        <f t="shared" si="26"/>
        <v>0</v>
      </c>
      <c r="M52" s="98">
        <f t="shared" si="27"/>
        <v>0</v>
      </c>
      <c r="N52" s="66">
        <f t="shared" si="28"/>
        <v>0</v>
      </c>
      <c r="O52" s="99">
        <v>-9</v>
      </c>
      <c r="P52" s="33">
        <f t="shared" si="32"/>
        <v>-27.433466847462196</v>
      </c>
      <c r="Q52" s="97">
        <f t="shared" si="33"/>
        <v>1.8057320867274937E-3</v>
      </c>
      <c r="R52" s="34">
        <v>-10</v>
      </c>
      <c r="S52" s="33">
        <f t="shared" si="34"/>
        <v>-28.433466847462196</v>
      </c>
      <c r="T52" s="97">
        <f t="shared" si="23"/>
        <v>1.4343439808352436E-3</v>
      </c>
      <c r="U52" s="34">
        <v>-13</v>
      </c>
      <c r="V52" s="33">
        <f t="shared" si="37"/>
        <v>-31.433466847462196</v>
      </c>
      <c r="W52" s="97">
        <f t="shared" si="35"/>
        <v>7.1887489182474501E-4</v>
      </c>
      <c r="X52" s="34">
        <v>-13</v>
      </c>
      <c r="Y52" s="33">
        <f t="shared" si="36"/>
        <v>-31.433466847462196</v>
      </c>
      <c r="Z52" s="97">
        <f t="shared" si="21"/>
        <v>7.1887489182474501E-4</v>
      </c>
    </row>
    <row r="53" spans="2:26" x14ac:dyDescent="0.2">
      <c r="B53" s="13">
        <v>3150</v>
      </c>
      <c r="C53" s="33">
        <f>'3º Alta Frec'!J49</f>
        <v>19.666243149619746</v>
      </c>
      <c r="D53" s="33">
        <f>'3º Alta Frec'!T49</f>
        <v>16.256634621642945</v>
      </c>
      <c r="E53" s="34">
        <f t="shared" si="19"/>
        <v>2</v>
      </c>
      <c r="F53" s="112">
        <f t="shared" si="24"/>
        <v>17.635088102825197</v>
      </c>
      <c r="G53" s="13">
        <v>56</v>
      </c>
      <c r="H53" s="18">
        <f t="shared" si="29"/>
        <v>29</v>
      </c>
      <c r="I53" s="18">
        <f t="shared" si="30"/>
        <v>28</v>
      </c>
      <c r="J53" s="18">
        <f t="shared" si="31"/>
        <v>27</v>
      </c>
      <c r="K53" s="79">
        <f t="shared" si="25"/>
        <v>0</v>
      </c>
      <c r="L53" s="33">
        <f t="shared" si="26"/>
        <v>0</v>
      </c>
      <c r="M53" s="98">
        <f t="shared" si="27"/>
        <v>0</v>
      </c>
      <c r="N53" s="66">
        <f t="shared" si="28"/>
        <v>0</v>
      </c>
      <c r="O53" s="99">
        <v>-9</v>
      </c>
      <c r="P53" s="33">
        <f t="shared" si="32"/>
        <v>-26.635088102825197</v>
      </c>
      <c r="Q53" s="97">
        <f>10^(P53/10)</f>
        <v>2.1701571783905374E-3</v>
      </c>
      <c r="R53" s="34">
        <v>-10</v>
      </c>
      <c r="S53" s="33">
        <f t="shared" si="34"/>
        <v>-27.635088102825197</v>
      </c>
      <c r="T53" s="97">
        <f t="shared" si="23"/>
        <v>1.7238171205851832E-3</v>
      </c>
      <c r="U53" s="34">
        <v>-15</v>
      </c>
      <c r="V53" s="33">
        <f t="shared" si="37"/>
        <v>-32.635088102825193</v>
      </c>
      <c r="W53" s="97">
        <f t="shared" si="35"/>
        <v>5.4511883706423079E-4</v>
      </c>
      <c r="X53" s="34">
        <v>-15</v>
      </c>
      <c r="Y53" s="33">
        <f t="shared" si="36"/>
        <v>-32.635088102825193</v>
      </c>
      <c r="Z53" s="97">
        <f t="shared" si="21"/>
        <v>5.4511883706423079E-4</v>
      </c>
    </row>
    <row r="54" spans="2:26" x14ac:dyDescent="0.2">
      <c r="B54" s="13">
        <v>4000</v>
      </c>
      <c r="C54" s="33">
        <f>'3º Alta Frec'!J50</f>
        <v>22.187810432525982</v>
      </c>
      <c r="D54" s="33">
        <f>'3º Alta Frec'!T50</f>
        <v>17.688886911514846</v>
      </c>
      <c r="E54" s="34">
        <f t="shared" si="19"/>
        <v>2</v>
      </c>
      <c r="F54" s="112">
        <f t="shared" si="24"/>
        <v>19.380110122219982</v>
      </c>
      <c r="G54" s="13"/>
      <c r="H54" s="18"/>
      <c r="I54" s="18"/>
      <c r="J54" s="18"/>
      <c r="K54" s="13"/>
      <c r="L54" s="18"/>
      <c r="M54" s="95"/>
      <c r="N54" s="66"/>
      <c r="O54" s="99"/>
      <c r="P54" s="18"/>
      <c r="Q54" s="97"/>
      <c r="R54" s="34">
        <v>-10</v>
      </c>
      <c r="S54" s="33">
        <f t="shared" si="34"/>
        <v>-29.380110122219982</v>
      </c>
      <c r="T54" s="97">
        <f t="shared" si="23"/>
        <v>1.153424010564151E-3</v>
      </c>
      <c r="U54" s="18"/>
      <c r="V54" s="18"/>
      <c r="W54" s="97"/>
      <c r="X54" s="34">
        <v>-16</v>
      </c>
      <c r="Y54" s="33">
        <f t="shared" si="36"/>
        <v>-35.380110122219982</v>
      </c>
      <c r="Z54" s="97">
        <f t="shared" si="21"/>
        <v>2.8972701219134498E-4</v>
      </c>
    </row>
    <row r="55" spans="2:26" x14ac:dyDescent="0.2">
      <c r="B55" s="15">
        <v>5000</v>
      </c>
      <c r="C55" s="23">
        <f>'3º Alta Frec'!J51</f>
        <v>22.92445623273694</v>
      </c>
      <c r="D55" s="23">
        <f>'3º Alta Frec'!T51</f>
        <v>20.174592477652379</v>
      </c>
      <c r="E55" s="24">
        <f t="shared" si="19"/>
        <v>2</v>
      </c>
      <c r="F55" s="113">
        <f t="shared" si="24"/>
        <v>21.335421085612282</v>
      </c>
      <c r="G55" s="15"/>
      <c r="H55" s="16"/>
      <c r="I55" s="16"/>
      <c r="J55" s="16"/>
      <c r="K55" s="13"/>
      <c r="L55" s="18"/>
      <c r="M55" s="95"/>
      <c r="N55" s="66"/>
      <c r="O55" s="13"/>
      <c r="P55" s="18"/>
      <c r="Q55" s="97"/>
      <c r="R55" s="34">
        <v>-10</v>
      </c>
      <c r="S55" s="33">
        <f t="shared" si="34"/>
        <v>-31.335421085612282</v>
      </c>
      <c r="T55" s="97">
        <f t="shared" si="23"/>
        <v>7.352886994963473E-4</v>
      </c>
      <c r="U55" s="18"/>
      <c r="V55" s="18"/>
      <c r="W55" s="97"/>
      <c r="X55" s="34">
        <v>-18</v>
      </c>
      <c r="Y55" s="33">
        <f t="shared" si="36"/>
        <v>-39.335421085612282</v>
      </c>
      <c r="Z55" s="97">
        <f t="shared" si="21"/>
        <v>1.1653540543253459E-4</v>
      </c>
    </row>
    <row r="56" spans="2:26" x14ac:dyDescent="0.2">
      <c r="K56" s="80">
        <f>SUM(K38:K53)</f>
        <v>0</v>
      </c>
      <c r="L56" s="23">
        <f t="shared" ref="L56:N56" si="38">SUM(L38:L53)</f>
        <v>26.212894920755307</v>
      </c>
      <c r="M56" s="102">
        <f t="shared" si="38"/>
        <v>29.212894920755307</v>
      </c>
      <c r="N56" s="59">
        <f t="shared" si="38"/>
        <v>32.328753466334298</v>
      </c>
      <c r="O56" s="79" t="s">
        <v>142</v>
      </c>
      <c r="P56" s="33">
        <f>52-28</f>
        <v>24</v>
      </c>
      <c r="Q56" s="103">
        <f>-10*LOG10(SUM(Q35:Q55))</f>
        <v>20.153206363149327</v>
      </c>
      <c r="R56" s="34"/>
      <c r="S56" s="33"/>
      <c r="T56" s="103">
        <f>-10*LOG10(SUM(T35:T55))</f>
        <v>20.168886729620898</v>
      </c>
      <c r="U56" s="33"/>
      <c r="V56" s="33"/>
      <c r="W56" s="103">
        <f>-10*LOG10(SUM(W35:W55))</f>
        <v>19.815025382694841</v>
      </c>
      <c r="X56" s="34"/>
      <c r="Y56" s="33"/>
      <c r="Z56" s="103">
        <f>-10*LOG10(SUM(Z35:Z55))</f>
        <v>19.130469674257952</v>
      </c>
    </row>
    <row r="57" spans="2:26" x14ac:dyDescent="0.2">
      <c r="O57" s="15"/>
      <c r="P57" s="16"/>
      <c r="Q57" s="114">
        <f>ROUND(Q56,0)-P56</f>
        <v>-4</v>
      </c>
      <c r="R57" s="16"/>
      <c r="S57" s="16"/>
      <c r="T57" s="114">
        <f>ROUND(T56,0)-P56</f>
        <v>-4</v>
      </c>
      <c r="U57" s="16"/>
      <c r="V57" s="16"/>
      <c r="W57" s="114">
        <f>ROUND(W56,0)-P56</f>
        <v>-4</v>
      </c>
      <c r="X57" s="16"/>
      <c r="Y57" s="16"/>
      <c r="Z57" s="114">
        <f>ROUND(Z56,0)-P56</f>
        <v>-5</v>
      </c>
    </row>
    <row r="58" spans="2:26" x14ac:dyDescent="0.2">
      <c r="O58" s="18"/>
      <c r="P58" s="18"/>
      <c r="Q58" s="34"/>
      <c r="R58" s="18"/>
      <c r="S58" s="18"/>
      <c r="T58" s="34"/>
      <c r="U58" s="18"/>
      <c r="V58" s="18"/>
      <c r="W58" s="34"/>
      <c r="X58" s="18"/>
      <c r="Y58" s="18"/>
      <c r="Z58" s="34"/>
    </row>
    <row r="59" spans="2:26" x14ac:dyDescent="0.2">
      <c r="O59" s="18"/>
      <c r="P59" s="18"/>
      <c r="Q59" s="34"/>
      <c r="R59" s="18"/>
      <c r="S59" s="18"/>
      <c r="T59" s="34"/>
      <c r="U59" s="18"/>
      <c r="V59" s="18"/>
      <c r="W59" s="34"/>
      <c r="X59" s="18"/>
      <c r="Y59" s="18"/>
      <c r="Z59" s="34"/>
    </row>
    <row r="60" spans="2:26" x14ac:dyDescent="0.2">
      <c r="D60" s="2" t="s">
        <v>92</v>
      </c>
      <c r="O60" s="18"/>
      <c r="P60" s="18"/>
      <c r="Q60" s="34"/>
      <c r="R60" s="18"/>
      <c r="S60" s="18"/>
      <c r="T60" s="34"/>
      <c r="U60" s="18"/>
      <c r="V60" s="18"/>
      <c r="W60" s="34"/>
      <c r="X60" s="18"/>
      <c r="Y60" s="18"/>
      <c r="Z60" s="34"/>
    </row>
    <row r="61" spans="2:26" x14ac:dyDescent="0.2">
      <c r="O61" s="18"/>
      <c r="P61" s="18"/>
      <c r="Q61" s="34"/>
      <c r="R61" s="18"/>
      <c r="S61" s="18"/>
      <c r="T61" s="34"/>
      <c r="U61" s="18"/>
      <c r="V61" s="18"/>
      <c r="W61" s="34"/>
      <c r="X61" s="18"/>
      <c r="Y61" s="18"/>
      <c r="Z61" s="34"/>
    </row>
    <row r="62" spans="2:26" x14ac:dyDescent="0.2">
      <c r="F62" s="172" t="s">
        <v>44</v>
      </c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4"/>
    </row>
    <row r="63" spans="2:26" x14ac:dyDescent="0.2">
      <c r="B63" s="43" t="s">
        <v>44</v>
      </c>
      <c r="C63" s="44"/>
      <c r="D63" s="44"/>
      <c r="E63" s="44"/>
      <c r="F63" s="184"/>
      <c r="G63" s="162" t="s">
        <v>96</v>
      </c>
      <c r="H63" s="163"/>
      <c r="I63" s="163"/>
      <c r="J63" s="163"/>
      <c r="K63" s="186" t="s">
        <v>95</v>
      </c>
      <c r="L63" s="187"/>
      <c r="M63" s="187"/>
      <c r="N63" s="188"/>
      <c r="O63" s="189" t="s">
        <v>99</v>
      </c>
      <c r="P63" s="190"/>
      <c r="Q63" s="191"/>
      <c r="R63" s="192" t="s">
        <v>97</v>
      </c>
      <c r="S63" s="192"/>
      <c r="T63" s="193"/>
      <c r="U63" s="190" t="s">
        <v>100</v>
      </c>
      <c r="V63" s="190"/>
      <c r="W63" s="191"/>
      <c r="X63" s="192" t="s">
        <v>98</v>
      </c>
      <c r="Y63" s="192"/>
      <c r="Z63" s="193"/>
    </row>
    <row r="64" spans="2:26" ht="34" customHeight="1" x14ac:dyDescent="0.2">
      <c r="B64" s="28"/>
      <c r="C64" s="29"/>
      <c r="D64" s="29"/>
      <c r="E64" s="29" t="s">
        <v>50</v>
      </c>
      <c r="F64" s="185"/>
      <c r="G64" s="15" t="s">
        <v>94</v>
      </c>
      <c r="H64" s="16" t="s">
        <v>104</v>
      </c>
      <c r="I64" s="107" t="s">
        <v>102</v>
      </c>
      <c r="J64" s="16" t="s">
        <v>88</v>
      </c>
      <c r="K64" s="15" t="s">
        <v>94</v>
      </c>
      <c r="L64" s="16" t="s">
        <v>104</v>
      </c>
      <c r="M64" s="107" t="s">
        <v>102</v>
      </c>
      <c r="N64" s="16" t="s">
        <v>88</v>
      </c>
      <c r="O64" s="142" t="s">
        <v>126</v>
      </c>
      <c r="P64" s="143"/>
      <c r="Q64" s="145"/>
      <c r="R64" s="144" t="s">
        <v>126</v>
      </c>
      <c r="S64" s="144"/>
      <c r="T64" s="145"/>
      <c r="U64" s="144" t="s">
        <v>126</v>
      </c>
      <c r="V64" s="143"/>
      <c r="W64" s="145"/>
      <c r="X64" s="144" t="s">
        <v>126</v>
      </c>
      <c r="Y64" s="144"/>
      <c r="Z64" s="145"/>
    </row>
    <row r="65" spans="2:26" x14ac:dyDescent="0.2">
      <c r="B65" s="13">
        <v>50</v>
      </c>
      <c r="C65" s="33">
        <f>'3º Alta Frec'!J58</f>
        <v>26.448763500351792</v>
      </c>
      <c r="D65" s="33">
        <f>'3º Alta Frec'!T58</f>
        <v>22.491278988608844</v>
      </c>
      <c r="E65" s="34">
        <f t="shared" ref="E65:E85" si="39">COUNT(C65:D65)</f>
        <v>2</v>
      </c>
      <c r="F65" s="111">
        <f t="shared" ref="F65:F85" si="40">-10*LOG10((10^(-C65/10)+10^(-D65/10))/E65)</f>
        <v>24.034025702647227</v>
      </c>
      <c r="G65" s="13"/>
      <c r="H65" s="18"/>
      <c r="I65" s="18"/>
      <c r="J65" s="18"/>
      <c r="K65" s="13"/>
      <c r="L65" s="18"/>
      <c r="M65" s="95"/>
      <c r="N65" s="96"/>
      <c r="O65" s="13"/>
      <c r="P65" s="18"/>
      <c r="Q65" s="97"/>
      <c r="R65" s="34">
        <v>-41</v>
      </c>
      <c r="S65" s="33">
        <f>R65-F65</f>
        <v>-65.034025702647227</v>
      </c>
      <c r="T65" s="97">
        <f>10^(S65/10)</f>
        <v>3.1375989409587117E-7</v>
      </c>
      <c r="U65" s="18"/>
      <c r="V65" s="18"/>
      <c r="W65" s="97"/>
      <c r="X65" s="34">
        <v>-25</v>
      </c>
      <c r="Y65" s="33">
        <f t="shared" ref="Y65" si="41">X65-F65</f>
        <v>-49.034025702647227</v>
      </c>
      <c r="Z65" s="97">
        <f t="shared" ref="Z65:Z85" si="42">10^(Y65/10)</f>
        <v>1.249100636716725E-5</v>
      </c>
    </row>
    <row r="66" spans="2:26" x14ac:dyDescent="0.2">
      <c r="B66" s="13">
        <v>63</v>
      </c>
      <c r="C66" s="33">
        <f>'3º Alta Frec'!J59</f>
        <v>26.159677967420706</v>
      </c>
      <c r="D66" s="33">
        <f>'3º Alta Frec'!T59</f>
        <v>35.806251445928886</v>
      </c>
      <c r="E66" s="34">
        <f t="shared" si="39"/>
        <v>2</v>
      </c>
      <c r="F66" s="112">
        <f t="shared" si="40"/>
        <v>28.722706181673232</v>
      </c>
      <c r="G66" s="13"/>
      <c r="H66" s="18"/>
      <c r="I66" s="18"/>
      <c r="J66" s="18"/>
      <c r="K66" s="13"/>
      <c r="L66" s="18"/>
      <c r="M66" s="95"/>
      <c r="N66" s="96"/>
      <c r="O66" s="13"/>
      <c r="P66" s="18"/>
      <c r="Q66" s="97"/>
      <c r="R66" s="34">
        <v>-37</v>
      </c>
      <c r="S66" s="33">
        <f t="shared" ref="S66:S67" si="43">R66-F66</f>
        <v>-65.722706181673232</v>
      </c>
      <c r="T66" s="97">
        <f t="shared" ref="T66:T85" si="44">10^(S66/10)</f>
        <v>2.6774993978402576E-7</v>
      </c>
      <c r="U66" s="18"/>
      <c r="V66" s="18"/>
      <c r="W66" s="97"/>
      <c r="X66" s="34">
        <v>-23</v>
      </c>
      <c r="Y66" s="33">
        <f>X66-F66</f>
        <v>-51.722706181673232</v>
      </c>
      <c r="Z66" s="97">
        <f t="shared" si="42"/>
        <v>6.7255744078100189E-6</v>
      </c>
    </row>
    <row r="67" spans="2:26" x14ac:dyDescent="0.2">
      <c r="B67" s="13">
        <v>80</v>
      </c>
      <c r="C67" s="33">
        <f>'3º Alta Frec'!J60</f>
        <v>25.641052984619112</v>
      </c>
      <c r="D67" s="33">
        <f>'3º Alta Frec'!T60</f>
        <v>34.292803314921059</v>
      </c>
      <c r="E67" s="34">
        <f t="shared" si="39"/>
        <v>2</v>
      </c>
      <c r="F67" s="112">
        <f t="shared" si="40"/>
        <v>28.096027971650265</v>
      </c>
      <c r="G67" s="13"/>
      <c r="H67" s="18"/>
      <c r="I67" s="18"/>
      <c r="J67" s="18"/>
      <c r="K67" s="13"/>
      <c r="L67" s="18"/>
      <c r="M67" s="95"/>
      <c r="N67" s="96"/>
      <c r="O67" s="13"/>
      <c r="P67" s="18"/>
      <c r="Q67" s="97"/>
      <c r="R67" s="34">
        <v>-34</v>
      </c>
      <c r="S67" s="33">
        <f t="shared" si="43"/>
        <v>-62.096027971650265</v>
      </c>
      <c r="T67" s="97">
        <f t="shared" si="44"/>
        <v>6.1715919349908906E-7</v>
      </c>
      <c r="U67" s="18"/>
      <c r="V67" s="18"/>
      <c r="W67" s="97"/>
      <c r="X67" s="34">
        <v>-21</v>
      </c>
      <c r="Y67" s="33">
        <f t="shared" ref="Y67" si="45">X67-F67</f>
        <v>-49.096027971650265</v>
      </c>
      <c r="Z67" s="97">
        <f t="shared" si="42"/>
        <v>1.2313944811253169E-5</v>
      </c>
    </row>
    <row r="68" spans="2:26" x14ac:dyDescent="0.2">
      <c r="B68" s="13">
        <v>100</v>
      </c>
      <c r="C68" s="33">
        <f>'3º Alta Frec'!J61</f>
        <v>26.233667216378475</v>
      </c>
      <c r="D68" s="33">
        <f>'3º Alta Frec'!T61</f>
        <v>35.830821151409765</v>
      </c>
      <c r="E68" s="34">
        <f t="shared" si="39"/>
        <v>2</v>
      </c>
      <c r="F68" s="112">
        <f t="shared" si="40"/>
        <v>28.791834219941311</v>
      </c>
      <c r="G68" s="13">
        <v>33</v>
      </c>
      <c r="H68" s="18">
        <f>G68-14</f>
        <v>19</v>
      </c>
      <c r="I68" s="18">
        <f>G68-15</f>
        <v>18</v>
      </c>
      <c r="J68" s="18">
        <f>G68-16</f>
        <v>17</v>
      </c>
      <c r="K68" s="79">
        <f t="shared" ref="K68:K83" si="46">IF((F68-G68)&gt;0,F68-G68,0)</f>
        <v>0</v>
      </c>
      <c r="L68" s="33">
        <f t="shared" ref="L68:L83" si="47">IF((F68-H68)&gt;0,F68-H68,0)</f>
        <v>9.7918342199413111</v>
      </c>
      <c r="M68" s="98">
        <f t="shared" ref="M68:M83" si="48">IF((F68-I68)&gt;0,F68-I68,0)</f>
        <v>10.791834219941311</v>
      </c>
      <c r="N68" s="66">
        <f t="shared" ref="N68:N83" si="49">IF((F68-J68)&gt;0,F68-J68,0)</f>
        <v>11.791834219941311</v>
      </c>
      <c r="O68" s="99">
        <v>-29</v>
      </c>
      <c r="P68" s="33">
        <f>O68-F68</f>
        <v>-57.791834219941308</v>
      </c>
      <c r="Q68" s="97">
        <f>10^(P68/10)</f>
        <v>1.662710265105981E-6</v>
      </c>
      <c r="R68" s="34">
        <v>-30</v>
      </c>
      <c r="S68" s="33">
        <f>R68-F68</f>
        <v>-58.791834219941308</v>
      </c>
      <c r="T68" s="97">
        <f>10^(S68/10)</f>
        <v>1.3207377097395775E-6</v>
      </c>
      <c r="U68" s="34">
        <v>-20</v>
      </c>
      <c r="V68" s="33">
        <f>U68-F68</f>
        <v>-48.791834219941308</v>
      </c>
      <c r="W68" s="97">
        <f>10^(V68/10)</f>
        <v>1.3207377097395765E-5</v>
      </c>
      <c r="X68" s="34">
        <v>-20</v>
      </c>
      <c r="Y68" s="33">
        <f>X68-F68</f>
        <v>-48.791834219941308</v>
      </c>
      <c r="Z68" s="97">
        <f>10^(Y68/10)</f>
        <v>1.3207377097395765E-5</v>
      </c>
    </row>
    <row r="69" spans="2:26" x14ac:dyDescent="0.2">
      <c r="B69" s="13">
        <v>125</v>
      </c>
      <c r="C69" s="33">
        <f>'3º Alta Frec'!J62</f>
        <v>22.759785337786195</v>
      </c>
      <c r="D69" s="33">
        <f>'3º Alta Frec'!T62</f>
        <v>36.896986368510852</v>
      </c>
      <c r="E69" s="34">
        <f t="shared" si="39"/>
        <v>2</v>
      </c>
      <c r="F69" s="112">
        <f t="shared" si="40"/>
        <v>25.605716322276027</v>
      </c>
      <c r="G69" s="13">
        <v>36</v>
      </c>
      <c r="H69" s="18">
        <f t="shared" ref="H69:H83" si="50">G69-14</f>
        <v>22</v>
      </c>
      <c r="I69" s="18">
        <f t="shared" ref="I69:I83" si="51">G69-15</f>
        <v>21</v>
      </c>
      <c r="J69" s="18">
        <f t="shared" ref="J69:J83" si="52">G69-16</f>
        <v>20</v>
      </c>
      <c r="K69" s="79">
        <f t="shared" si="46"/>
        <v>0</v>
      </c>
      <c r="L69" s="33">
        <f t="shared" si="47"/>
        <v>3.6057163222760273</v>
      </c>
      <c r="M69" s="98">
        <f t="shared" si="48"/>
        <v>4.6057163222760273</v>
      </c>
      <c r="N69" s="66">
        <f t="shared" si="49"/>
        <v>5.6057163222760273</v>
      </c>
      <c r="O69" s="99">
        <v>-26</v>
      </c>
      <c r="P69" s="33">
        <f t="shared" ref="P69:P83" si="53">O69-F69</f>
        <v>-51.605716322276024</v>
      </c>
      <c r="Q69" s="97">
        <f>10^(P69/10)</f>
        <v>6.9092095998706055E-6</v>
      </c>
      <c r="R69" s="34">
        <v>-27</v>
      </c>
      <c r="S69" s="33">
        <f t="shared" ref="S69:S85" si="54">R69-F69</f>
        <v>-52.605716322276024</v>
      </c>
      <c r="T69" s="97">
        <f t="shared" si="44"/>
        <v>5.4881802648052825E-6</v>
      </c>
      <c r="U69" s="34">
        <v>-20</v>
      </c>
      <c r="V69" s="33">
        <f>U69-F69</f>
        <v>-45.605716322276024</v>
      </c>
      <c r="W69" s="97">
        <f t="shared" ref="W69:W83" si="55">10^(V69/10)</f>
        <v>2.7506058845655515E-5</v>
      </c>
      <c r="X69" s="34">
        <v>-20</v>
      </c>
      <c r="Y69" s="33">
        <f t="shared" ref="Y69:Y85" si="56">X69-F69</f>
        <v>-45.605716322276024</v>
      </c>
      <c r="Z69" s="97">
        <f t="shared" si="42"/>
        <v>2.7506058845655515E-5</v>
      </c>
    </row>
    <row r="70" spans="2:26" x14ac:dyDescent="0.2">
      <c r="B70" s="13">
        <v>160</v>
      </c>
      <c r="C70" s="33">
        <f>'3º Alta Frec'!J63</f>
        <v>24.837531973364985</v>
      </c>
      <c r="D70" s="33">
        <f>'3º Alta Frec'!T63</f>
        <v>30.987865801306423</v>
      </c>
      <c r="E70" s="34">
        <f t="shared" si="39"/>
        <v>2</v>
      </c>
      <c r="F70" s="112">
        <f t="shared" si="40"/>
        <v>26.904370397735633</v>
      </c>
      <c r="G70" s="13">
        <v>39</v>
      </c>
      <c r="H70" s="18">
        <f t="shared" si="50"/>
        <v>25</v>
      </c>
      <c r="I70" s="18">
        <f t="shared" si="51"/>
        <v>24</v>
      </c>
      <c r="J70" s="18">
        <f t="shared" si="52"/>
        <v>23</v>
      </c>
      <c r="K70" s="79">
        <f t="shared" si="46"/>
        <v>0</v>
      </c>
      <c r="L70" s="33">
        <f t="shared" si="47"/>
        <v>1.904370397735633</v>
      </c>
      <c r="M70" s="98">
        <f t="shared" si="48"/>
        <v>2.904370397735633</v>
      </c>
      <c r="N70" s="66">
        <f t="shared" si="49"/>
        <v>3.904370397735633</v>
      </c>
      <c r="O70" s="99">
        <v>-23</v>
      </c>
      <c r="P70" s="33">
        <f t="shared" si="53"/>
        <v>-49.904370397735633</v>
      </c>
      <c r="Q70" s="97">
        <f t="shared" ref="Q70:Q83" si="57">10^(P70/10)</f>
        <v>1.0222637487412715E-5</v>
      </c>
      <c r="R70" s="34">
        <v>-24</v>
      </c>
      <c r="S70" s="33">
        <f t="shared" si="54"/>
        <v>-50.904370397735633</v>
      </c>
      <c r="T70" s="97">
        <f t="shared" si="44"/>
        <v>8.1201295896027987E-6</v>
      </c>
      <c r="U70" s="34">
        <v>-18</v>
      </c>
      <c r="V70" s="33">
        <f t="shared" ref="V70:V83" si="58">U70-F70</f>
        <v>-44.904370397735633</v>
      </c>
      <c r="W70" s="97">
        <f t="shared" si="55"/>
        <v>3.2326818154445053E-5</v>
      </c>
      <c r="X70" s="34">
        <v>-18</v>
      </c>
      <c r="Y70" s="33">
        <f t="shared" si="56"/>
        <v>-44.904370397735633</v>
      </c>
      <c r="Z70" s="97">
        <f t="shared" si="42"/>
        <v>3.2326818154445053E-5</v>
      </c>
    </row>
    <row r="71" spans="2:26" x14ac:dyDescent="0.2">
      <c r="B71" s="13">
        <v>200</v>
      </c>
      <c r="C71" s="33">
        <f>'3º Alta Frec'!J64</f>
        <v>29.698162380423927</v>
      </c>
      <c r="D71" s="33">
        <f>'3º Alta Frec'!T64</f>
        <v>40.671626134392056</v>
      </c>
      <c r="E71" s="34">
        <f t="shared" si="39"/>
        <v>2</v>
      </c>
      <c r="F71" s="112">
        <f t="shared" si="40"/>
        <v>32.37454786327951</v>
      </c>
      <c r="G71" s="13">
        <v>42</v>
      </c>
      <c r="H71" s="18">
        <f t="shared" si="50"/>
        <v>28</v>
      </c>
      <c r="I71" s="18">
        <f t="shared" si="51"/>
        <v>27</v>
      </c>
      <c r="J71" s="18">
        <f t="shared" si="52"/>
        <v>26</v>
      </c>
      <c r="K71" s="79">
        <f t="shared" si="46"/>
        <v>0</v>
      </c>
      <c r="L71" s="33">
        <f t="shared" si="47"/>
        <v>4.3745478632795098</v>
      </c>
      <c r="M71" s="98">
        <f t="shared" si="48"/>
        <v>5.3745478632795098</v>
      </c>
      <c r="N71" s="66">
        <f t="shared" si="49"/>
        <v>6.3745478632795098</v>
      </c>
      <c r="O71" s="99">
        <v>-21</v>
      </c>
      <c r="P71" s="33">
        <f t="shared" si="53"/>
        <v>-53.37454786327951</v>
      </c>
      <c r="Q71" s="97">
        <f t="shared" si="57"/>
        <v>4.5977485243011552E-6</v>
      </c>
      <c r="R71" s="34">
        <v>-22</v>
      </c>
      <c r="S71" s="33">
        <f t="shared" si="54"/>
        <v>-54.37454786327951</v>
      </c>
      <c r="T71" s="97">
        <f t="shared" si="44"/>
        <v>3.652121469014311E-6</v>
      </c>
      <c r="U71" s="34">
        <v>-16</v>
      </c>
      <c r="V71" s="33">
        <f t="shared" si="58"/>
        <v>-48.37454786327951</v>
      </c>
      <c r="W71" s="97">
        <f t="shared" si="55"/>
        <v>1.4539357445469661E-5</v>
      </c>
      <c r="X71" s="34">
        <v>-16</v>
      </c>
      <c r="Y71" s="33">
        <f t="shared" si="56"/>
        <v>-48.37454786327951</v>
      </c>
      <c r="Z71" s="97">
        <f t="shared" si="42"/>
        <v>1.4539357445469661E-5</v>
      </c>
    </row>
    <row r="72" spans="2:26" x14ac:dyDescent="0.2">
      <c r="B72" s="13">
        <v>250</v>
      </c>
      <c r="C72" s="33">
        <f>'3º Alta Frec'!J65</f>
        <v>31.121997484651448</v>
      </c>
      <c r="D72" s="33">
        <f>'3º Alta Frec'!T65</f>
        <v>39.222909211943943</v>
      </c>
      <c r="E72" s="34">
        <f t="shared" si="39"/>
        <v>2</v>
      </c>
      <c r="F72" s="112">
        <f t="shared" si="40"/>
        <v>33.50704484894807</v>
      </c>
      <c r="G72" s="100">
        <v>45</v>
      </c>
      <c r="H72" s="18">
        <f t="shared" si="50"/>
        <v>31</v>
      </c>
      <c r="I72" s="18">
        <f t="shared" si="51"/>
        <v>30</v>
      </c>
      <c r="J72" s="18">
        <f t="shared" si="52"/>
        <v>29</v>
      </c>
      <c r="K72" s="79">
        <f t="shared" si="46"/>
        <v>0</v>
      </c>
      <c r="L72" s="33">
        <f t="shared" si="47"/>
        <v>2.5070448489480697</v>
      </c>
      <c r="M72" s="98">
        <f t="shared" si="48"/>
        <v>3.5070448489480697</v>
      </c>
      <c r="N72" s="66">
        <f t="shared" si="49"/>
        <v>4.5070448489480697</v>
      </c>
      <c r="O72" s="99">
        <v>-19</v>
      </c>
      <c r="P72" s="33">
        <f t="shared" si="53"/>
        <v>-52.50704484894807</v>
      </c>
      <c r="Q72" s="97">
        <f t="shared" si="57"/>
        <v>5.6142987029990766E-6</v>
      </c>
      <c r="R72" s="34">
        <v>-20</v>
      </c>
      <c r="S72" s="33">
        <f t="shared" si="54"/>
        <v>-53.50704484894807</v>
      </c>
      <c r="T72" s="97">
        <f t="shared" si="44"/>
        <v>4.4595959779680754E-6</v>
      </c>
      <c r="U72" s="34">
        <v>-15</v>
      </c>
      <c r="V72" s="33">
        <f t="shared" si="58"/>
        <v>-48.50704484894807</v>
      </c>
      <c r="W72" s="97">
        <f t="shared" si="55"/>
        <v>1.4102480734505184E-5</v>
      </c>
      <c r="X72" s="34">
        <v>-15</v>
      </c>
      <c r="Y72" s="33">
        <f t="shared" si="56"/>
        <v>-48.50704484894807</v>
      </c>
      <c r="Z72" s="97">
        <f t="shared" si="42"/>
        <v>1.4102480734505184E-5</v>
      </c>
    </row>
    <row r="73" spans="2:26" x14ac:dyDescent="0.2">
      <c r="B73" s="13">
        <v>315</v>
      </c>
      <c r="C73" s="33">
        <f>'3º Alta Frec'!J66</f>
        <v>29.929886824486179</v>
      </c>
      <c r="D73" s="33">
        <f>'3º Alta Frec'!T66</f>
        <v>33.869967282955791</v>
      </c>
      <c r="E73" s="34">
        <f t="shared" si="39"/>
        <v>2</v>
      </c>
      <c r="F73" s="112">
        <f t="shared" si="40"/>
        <v>31.467635872683065</v>
      </c>
      <c r="G73" s="100">
        <v>48</v>
      </c>
      <c r="H73" s="18">
        <f t="shared" si="50"/>
        <v>34</v>
      </c>
      <c r="I73" s="18">
        <f t="shared" si="51"/>
        <v>33</v>
      </c>
      <c r="J73" s="18">
        <f t="shared" si="52"/>
        <v>32</v>
      </c>
      <c r="K73" s="79">
        <f t="shared" si="46"/>
        <v>0</v>
      </c>
      <c r="L73" s="33">
        <f t="shared" si="47"/>
        <v>0</v>
      </c>
      <c r="M73" s="98">
        <f t="shared" si="48"/>
        <v>0</v>
      </c>
      <c r="N73" s="66">
        <f t="shared" si="49"/>
        <v>0</v>
      </c>
      <c r="O73" s="99">
        <v>-17</v>
      </c>
      <c r="P73" s="33">
        <f t="shared" si="53"/>
        <v>-48.467635872683061</v>
      </c>
      <c r="Q73" s="97">
        <f t="shared" si="57"/>
        <v>1.4231032574118927E-5</v>
      </c>
      <c r="R73" s="34">
        <v>-18</v>
      </c>
      <c r="S73" s="33">
        <f t="shared" si="54"/>
        <v>-49.467635872683061</v>
      </c>
      <c r="T73" s="97">
        <f t="shared" si="44"/>
        <v>1.1304110982903645E-5</v>
      </c>
      <c r="U73" s="34">
        <v>-14</v>
      </c>
      <c r="V73" s="33">
        <f t="shared" si="58"/>
        <v>-45.467635872683061</v>
      </c>
      <c r="W73" s="97">
        <f t="shared" si="55"/>
        <v>2.8394642998234033E-5</v>
      </c>
      <c r="X73" s="34">
        <v>-14</v>
      </c>
      <c r="Y73" s="33">
        <f t="shared" si="56"/>
        <v>-45.467635872683061</v>
      </c>
      <c r="Z73" s="97">
        <f t="shared" si="42"/>
        <v>2.8394642998234033E-5</v>
      </c>
    </row>
    <row r="74" spans="2:26" x14ac:dyDescent="0.2">
      <c r="B74" s="13">
        <v>400</v>
      </c>
      <c r="C74" s="33">
        <f>'3º Alta Frec'!J67</f>
        <v>29.462527683251853</v>
      </c>
      <c r="D74" s="33">
        <f>'3º Alta Frec'!T67</f>
        <v>37.252134793396799</v>
      </c>
      <c r="E74" s="34">
        <f t="shared" si="39"/>
        <v>2</v>
      </c>
      <c r="F74" s="112">
        <f t="shared" si="40"/>
        <v>31.804515192622226</v>
      </c>
      <c r="G74" s="100">
        <v>51</v>
      </c>
      <c r="H74" s="18">
        <f t="shared" si="50"/>
        <v>37</v>
      </c>
      <c r="I74" s="18">
        <f t="shared" si="51"/>
        <v>36</v>
      </c>
      <c r="J74" s="18">
        <f t="shared" si="52"/>
        <v>35</v>
      </c>
      <c r="K74" s="79">
        <f t="shared" si="46"/>
        <v>0</v>
      </c>
      <c r="L74" s="33">
        <f t="shared" si="47"/>
        <v>0</v>
      </c>
      <c r="M74" s="98">
        <f t="shared" si="48"/>
        <v>0</v>
      </c>
      <c r="N74" s="66">
        <f t="shared" si="49"/>
        <v>0</v>
      </c>
      <c r="O74" s="99">
        <v>-15</v>
      </c>
      <c r="P74" s="33">
        <f t="shared" si="53"/>
        <v>-46.804515192622226</v>
      </c>
      <c r="Q74" s="97">
        <f t="shared" si="57"/>
        <v>2.0871250988226917E-5</v>
      </c>
      <c r="R74" s="34">
        <v>-16</v>
      </c>
      <c r="S74" s="33">
        <f t="shared" si="54"/>
        <v>-47.804515192622226</v>
      </c>
      <c r="T74" s="97">
        <f t="shared" si="44"/>
        <v>1.657862395396569E-5</v>
      </c>
      <c r="U74" s="34">
        <v>-13</v>
      </c>
      <c r="V74" s="33">
        <f t="shared" si="58"/>
        <v>-44.804515192622226</v>
      </c>
      <c r="W74" s="97">
        <f t="shared" si="55"/>
        <v>3.3078703609388124E-5</v>
      </c>
      <c r="X74" s="34">
        <v>-13</v>
      </c>
      <c r="Y74" s="33">
        <f t="shared" si="56"/>
        <v>-44.804515192622226</v>
      </c>
      <c r="Z74" s="97">
        <f t="shared" si="42"/>
        <v>3.3078703609388124E-5</v>
      </c>
    </row>
    <row r="75" spans="2:26" x14ac:dyDescent="0.2">
      <c r="B75" s="13">
        <v>500</v>
      </c>
      <c r="C75" s="33">
        <f>'3º Alta Frec'!J68</f>
        <v>32.589294640227386</v>
      </c>
      <c r="D75" s="33">
        <f>'3º Alta Frec'!T68</f>
        <v>37.103450719945535</v>
      </c>
      <c r="E75" s="34">
        <f t="shared" si="39"/>
        <v>2</v>
      </c>
      <c r="F75" s="112">
        <f t="shared" si="40"/>
        <v>34.284502688794831</v>
      </c>
      <c r="G75" s="101">
        <v>52</v>
      </c>
      <c r="H75" s="18">
        <f t="shared" si="50"/>
        <v>38</v>
      </c>
      <c r="I75" s="95">
        <f t="shared" si="51"/>
        <v>37</v>
      </c>
      <c r="J75" s="18">
        <f t="shared" si="52"/>
        <v>36</v>
      </c>
      <c r="K75" s="79">
        <f t="shared" si="46"/>
        <v>0</v>
      </c>
      <c r="L75" s="33">
        <f t="shared" si="47"/>
        <v>0</v>
      </c>
      <c r="M75" s="98">
        <f t="shared" si="48"/>
        <v>0</v>
      </c>
      <c r="N75" s="66">
        <f t="shared" si="49"/>
        <v>0</v>
      </c>
      <c r="O75" s="99">
        <v>-13</v>
      </c>
      <c r="P75" s="33">
        <f t="shared" si="53"/>
        <v>-47.284502688794831</v>
      </c>
      <c r="Q75" s="97">
        <f t="shared" si="57"/>
        <v>1.8687436550958166E-5</v>
      </c>
      <c r="R75" s="34">
        <v>-14</v>
      </c>
      <c r="S75" s="33">
        <f t="shared" si="54"/>
        <v>-48.284502688794831</v>
      </c>
      <c r="T75" s="97">
        <f t="shared" si="44"/>
        <v>1.4843958487044603E-5</v>
      </c>
      <c r="U75" s="34">
        <v>-12</v>
      </c>
      <c r="V75" s="33">
        <f t="shared" si="58"/>
        <v>-46.284502688794831</v>
      </c>
      <c r="W75" s="97">
        <f t="shared" si="55"/>
        <v>2.3526088755292359E-5</v>
      </c>
      <c r="X75" s="34">
        <v>-12</v>
      </c>
      <c r="Y75" s="33">
        <f t="shared" si="56"/>
        <v>-46.284502688794831</v>
      </c>
      <c r="Z75" s="97">
        <f t="shared" si="42"/>
        <v>2.3526088755292359E-5</v>
      </c>
    </row>
    <row r="76" spans="2:26" x14ac:dyDescent="0.2">
      <c r="B76" s="13">
        <v>630</v>
      </c>
      <c r="C76" s="33">
        <f>'3º Alta Frec'!J69</f>
        <v>30.445533253980624</v>
      </c>
      <c r="D76" s="33">
        <f>'3º Alta Frec'!T69</f>
        <v>40.570841803919414</v>
      </c>
      <c r="E76" s="34">
        <f t="shared" si="39"/>
        <v>2</v>
      </c>
      <c r="F76" s="112">
        <f t="shared" si="40"/>
        <v>33.053149812014659</v>
      </c>
      <c r="G76" s="13">
        <v>53</v>
      </c>
      <c r="H76" s="18">
        <f t="shared" si="50"/>
        <v>39</v>
      </c>
      <c r="I76" s="18">
        <f t="shared" si="51"/>
        <v>38</v>
      </c>
      <c r="J76" s="18">
        <f t="shared" si="52"/>
        <v>37</v>
      </c>
      <c r="K76" s="79">
        <f t="shared" si="46"/>
        <v>0</v>
      </c>
      <c r="L76" s="33">
        <f t="shared" si="47"/>
        <v>0</v>
      </c>
      <c r="M76" s="98">
        <f t="shared" si="48"/>
        <v>0</v>
      </c>
      <c r="N76" s="66">
        <f t="shared" si="49"/>
        <v>0</v>
      </c>
      <c r="O76" s="99">
        <v>-12</v>
      </c>
      <c r="P76" s="33">
        <f t="shared" si="53"/>
        <v>-45.053149812014659</v>
      </c>
      <c r="Q76" s="97">
        <f t="shared" si="57"/>
        <v>3.1238129343440196E-5</v>
      </c>
      <c r="R76" s="34">
        <v>-13</v>
      </c>
      <c r="S76" s="33">
        <f t="shared" si="54"/>
        <v>-46.053149812014659</v>
      </c>
      <c r="T76" s="97">
        <f t="shared" si="44"/>
        <v>2.4813328137463651E-5</v>
      </c>
      <c r="U76" s="34">
        <v>-11</v>
      </c>
      <c r="V76" s="33">
        <f t="shared" si="58"/>
        <v>-44.053149812014659</v>
      </c>
      <c r="W76" s="97">
        <f t="shared" si="55"/>
        <v>3.9326474847370005E-5</v>
      </c>
      <c r="X76" s="34">
        <v>-11</v>
      </c>
      <c r="Y76" s="33">
        <f t="shared" si="56"/>
        <v>-44.053149812014659</v>
      </c>
      <c r="Z76" s="97">
        <f t="shared" si="42"/>
        <v>3.9326474847370005E-5</v>
      </c>
    </row>
    <row r="77" spans="2:26" x14ac:dyDescent="0.2">
      <c r="B77" s="13">
        <v>800</v>
      </c>
      <c r="C77" s="33">
        <f>'3º Alta Frec'!J70</f>
        <v>33.712592770651568</v>
      </c>
      <c r="D77" s="33">
        <f>'3º Alta Frec'!T70</f>
        <v>43.052350182338984</v>
      </c>
      <c r="E77" s="34">
        <f t="shared" si="39"/>
        <v>2</v>
      </c>
      <c r="F77" s="112">
        <f t="shared" si="40"/>
        <v>36.244620126039472</v>
      </c>
      <c r="G77" s="13">
        <v>54</v>
      </c>
      <c r="H77" s="18">
        <f t="shared" si="50"/>
        <v>40</v>
      </c>
      <c r="I77" s="18">
        <f t="shared" si="51"/>
        <v>39</v>
      </c>
      <c r="J77" s="18">
        <f t="shared" si="52"/>
        <v>38</v>
      </c>
      <c r="K77" s="79">
        <f t="shared" si="46"/>
        <v>0</v>
      </c>
      <c r="L77" s="33">
        <f t="shared" si="47"/>
        <v>0</v>
      </c>
      <c r="M77" s="98">
        <f t="shared" si="48"/>
        <v>0</v>
      </c>
      <c r="N77" s="66">
        <f t="shared" si="49"/>
        <v>0</v>
      </c>
      <c r="O77" s="99">
        <v>-11</v>
      </c>
      <c r="P77" s="33">
        <f t="shared" si="53"/>
        <v>-47.244620126039472</v>
      </c>
      <c r="Q77" s="97">
        <f t="shared" si="57"/>
        <v>1.8859839278036795E-5</v>
      </c>
      <c r="R77" s="34">
        <v>-12</v>
      </c>
      <c r="S77" s="33">
        <f t="shared" si="54"/>
        <v>-48.244620126039472</v>
      </c>
      <c r="T77" s="97">
        <f t="shared" si="44"/>
        <v>1.4980902840906651E-5</v>
      </c>
      <c r="U77" s="34">
        <v>-9</v>
      </c>
      <c r="V77" s="33">
        <f t="shared" si="58"/>
        <v>-45.244620126039472</v>
      </c>
      <c r="W77" s="97">
        <f t="shared" si="55"/>
        <v>2.9890830882671286E-5</v>
      </c>
      <c r="X77" s="34">
        <v>-9</v>
      </c>
      <c r="Y77" s="33">
        <f t="shared" si="56"/>
        <v>-45.244620126039472</v>
      </c>
      <c r="Z77" s="97">
        <f t="shared" si="42"/>
        <v>2.9890830882671286E-5</v>
      </c>
    </row>
    <row r="78" spans="2:26" x14ac:dyDescent="0.2">
      <c r="B78" s="13">
        <v>1000</v>
      </c>
      <c r="C78" s="33">
        <f>'3º Alta Frec'!J71</f>
        <v>35.734146805316882</v>
      </c>
      <c r="D78" s="33">
        <f>'3º Alta Frec'!T71</f>
        <v>44.042677965422286</v>
      </c>
      <c r="E78" s="34">
        <f t="shared" si="39"/>
        <v>2</v>
      </c>
      <c r="F78" s="112">
        <f t="shared" si="40"/>
        <v>38.146463514576759</v>
      </c>
      <c r="G78" s="13">
        <v>55</v>
      </c>
      <c r="H78" s="18">
        <f t="shared" si="50"/>
        <v>41</v>
      </c>
      <c r="I78" s="18">
        <f t="shared" si="51"/>
        <v>40</v>
      </c>
      <c r="J78" s="18">
        <f t="shared" si="52"/>
        <v>39</v>
      </c>
      <c r="K78" s="79">
        <f t="shared" si="46"/>
        <v>0</v>
      </c>
      <c r="L78" s="33">
        <f t="shared" si="47"/>
        <v>0</v>
      </c>
      <c r="M78" s="98">
        <f t="shared" si="48"/>
        <v>0</v>
      </c>
      <c r="N78" s="66">
        <f t="shared" si="49"/>
        <v>0</v>
      </c>
      <c r="O78" s="99">
        <v>-10</v>
      </c>
      <c r="P78" s="33">
        <f t="shared" si="53"/>
        <v>-48.146463514576759</v>
      </c>
      <c r="Q78" s="97">
        <f t="shared" si="57"/>
        <v>1.5323347429421711E-5</v>
      </c>
      <c r="R78" s="34">
        <v>-11</v>
      </c>
      <c r="S78" s="33">
        <f t="shared" si="54"/>
        <v>-49.146463514576759</v>
      </c>
      <c r="T78" s="97">
        <f t="shared" si="44"/>
        <v>1.2171767513679418E-5</v>
      </c>
      <c r="U78" s="34">
        <v>-8</v>
      </c>
      <c r="V78" s="33">
        <f t="shared" si="58"/>
        <v>-46.146463514576759</v>
      </c>
      <c r="W78" s="97">
        <f t="shared" si="55"/>
        <v>2.4285869026607015E-5</v>
      </c>
      <c r="X78" s="34">
        <v>-8</v>
      </c>
      <c r="Y78" s="33">
        <f t="shared" si="56"/>
        <v>-46.146463514576759</v>
      </c>
      <c r="Z78" s="97">
        <f t="shared" si="42"/>
        <v>2.4285869026607015E-5</v>
      </c>
    </row>
    <row r="79" spans="2:26" x14ac:dyDescent="0.2">
      <c r="B79" s="13">
        <v>1250</v>
      </c>
      <c r="C79" s="33">
        <f>'3º Alta Frec'!J72</f>
        <v>36.306732035376271</v>
      </c>
      <c r="D79" s="33">
        <f>'3º Alta Frec'!T72</f>
        <v>45.393157191781853</v>
      </c>
      <c r="E79" s="34">
        <f t="shared" si="39"/>
        <v>2</v>
      </c>
      <c r="F79" s="112">
        <f t="shared" si="40"/>
        <v>38.811641303025141</v>
      </c>
      <c r="G79" s="13">
        <v>56</v>
      </c>
      <c r="H79" s="18">
        <f t="shared" si="50"/>
        <v>42</v>
      </c>
      <c r="I79" s="18">
        <f t="shared" si="51"/>
        <v>41</v>
      </c>
      <c r="J79" s="18">
        <f t="shared" si="52"/>
        <v>40</v>
      </c>
      <c r="K79" s="79">
        <f t="shared" si="46"/>
        <v>0</v>
      </c>
      <c r="L79" s="33">
        <f t="shared" si="47"/>
        <v>0</v>
      </c>
      <c r="M79" s="98">
        <f t="shared" si="48"/>
        <v>0</v>
      </c>
      <c r="N79" s="66">
        <f t="shared" si="49"/>
        <v>0</v>
      </c>
      <c r="O79" s="99">
        <v>-9</v>
      </c>
      <c r="P79" s="33">
        <f t="shared" si="53"/>
        <v>-47.811641303025141</v>
      </c>
      <c r="Q79" s="97">
        <f t="shared" si="57"/>
        <v>1.6551443265109789E-5</v>
      </c>
      <c r="R79" s="34">
        <v>-10</v>
      </c>
      <c r="S79" s="33">
        <f t="shared" si="54"/>
        <v>-48.811641303025141</v>
      </c>
      <c r="T79" s="97">
        <f t="shared" si="44"/>
        <v>1.3147278710913769E-5</v>
      </c>
      <c r="U79" s="34">
        <v>-9</v>
      </c>
      <c r="V79" s="33">
        <f t="shared" si="58"/>
        <v>-47.811641303025141</v>
      </c>
      <c r="W79" s="97">
        <f t="shared" si="55"/>
        <v>1.6551443265109789E-5</v>
      </c>
      <c r="X79" s="34">
        <v>-9</v>
      </c>
      <c r="Y79" s="33">
        <f t="shared" si="56"/>
        <v>-47.811641303025141</v>
      </c>
      <c r="Z79" s="97">
        <f t="shared" si="42"/>
        <v>1.6551443265109789E-5</v>
      </c>
    </row>
    <row r="80" spans="2:26" x14ac:dyDescent="0.2">
      <c r="B80" s="13">
        <v>1600</v>
      </c>
      <c r="C80" s="33">
        <f>'3º Alta Frec'!J73</f>
        <v>37.258406192274741</v>
      </c>
      <c r="D80" s="33">
        <f>'3º Alta Frec'!T73</f>
        <v>45.805614379159415</v>
      </c>
      <c r="E80" s="34">
        <f t="shared" si="39"/>
        <v>2</v>
      </c>
      <c r="F80" s="112">
        <f t="shared" si="40"/>
        <v>39.700699195063947</v>
      </c>
      <c r="G80" s="13">
        <v>56</v>
      </c>
      <c r="H80" s="18">
        <f t="shared" si="50"/>
        <v>42</v>
      </c>
      <c r="I80" s="18">
        <f t="shared" si="51"/>
        <v>41</v>
      </c>
      <c r="J80" s="18">
        <f t="shared" si="52"/>
        <v>40</v>
      </c>
      <c r="K80" s="79">
        <f t="shared" si="46"/>
        <v>0</v>
      </c>
      <c r="L80" s="33">
        <f t="shared" si="47"/>
        <v>0</v>
      </c>
      <c r="M80" s="98">
        <f t="shared" si="48"/>
        <v>0</v>
      </c>
      <c r="N80" s="66">
        <f t="shared" si="49"/>
        <v>0</v>
      </c>
      <c r="O80" s="99">
        <v>-9</v>
      </c>
      <c r="P80" s="33">
        <f t="shared" si="53"/>
        <v>-48.700699195063947</v>
      </c>
      <c r="Q80" s="97">
        <f t="shared" si="57"/>
        <v>1.3487457229666182E-5</v>
      </c>
      <c r="R80" s="34">
        <v>-10</v>
      </c>
      <c r="S80" s="33">
        <f t="shared" si="54"/>
        <v>-49.700699195063947</v>
      </c>
      <c r="T80" s="97">
        <f t="shared" si="44"/>
        <v>1.071346809215996E-5</v>
      </c>
      <c r="U80" s="34">
        <v>-10</v>
      </c>
      <c r="V80" s="33">
        <f t="shared" si="58"/>
        <v>-49.700699195063947</v>
      </c>
      <c r="W80" s="97">
        <f t="shared" si="55"/>
        <v>1.071346809215996E-5</v>
      </c>
      <c r="X80" s="34">
        <v>-10</v>
      </c>
      <c r="Y80" s="33">
        <f t="shared" si="56"/>
        <v>-49.700699195063947</v>
      </c>
      <c r="Z80" s="97">
        <f t="shared" si="42"/>
        <v>1.071346809215996E-5</v>
      </c>
    </row>
    <row r="81" spans="2:26" x14ac:dyDescent="0.2">
      <c r="B81" s="13">
        <v>2000</v>
      </c>
      <c r="C81" s="33">
        <f>'3º Alta Frec'!J74</f>
        <v>38.749390719287099</v>
      </c>
      <c r="D81" s="33">
        <f>'3º Alta Frec'!T74</f>
        <v>46.521168176390979</v>
      </c>
      <c r="E81" s="34">
        <f t="shared" si="39"/>
        <v>2</v>
      </c>
      <c r="F81" s="112">
        <f t="shared" si="40"/>
        <v>41.088830721913531</v>
      </c>
      <c r="G81" s="13">
        <v>56</v>
      </c>
      <c r="H81" s="18">
        <f t="shared" si="50"/>
        <v>42</v>
      </c>
      <c r="I81" s="18">
        <f t="shared" si="51"/>
        <v>41</v>
      </c>
      <c r="J81" s="18">
        <f t="shared" si="52"/>
        <v>40</v>
      </c>
      <c r="K81" s="79">
        <f t="shared" si="46"/>
        <v>0</v>
      </c>
      <c r="L81" s="33">
        <f t="shared" si="47"/>
        <v>0</v>
      </c>
      <c r="M81" s="98">
        <f t="shared" si="48"/>
        <v>8.8830721913531363E-2</v>
      </c>
      <c r="N81" s="66">
        <f t="shared" si="49"/>
        <v>1.0888307219135314</v>
      </c>
      <c r="O81" s="99">
        <v>-9</v>
      </c>
      <c r="P81" s="33">
        <f t="shared" si="53"/>
        <v>-50.088830721913531</v>
      </c>
      <c r="Q81" s="97">
        <f t="shared" si="57"/>
        <v>9.7975373510274857E-6</v>
      </c>
      <c r="R81" s="34">
        <v>-10</v>
      </c>
      <c r="S81" s="33">
        <f t="shared" si="54"/>
        <v>-51.088830721913531</v>
      </c>
      <c r="T81" s="97">
        <f t="shared" si="44"/>
        <v>7.7824605486868836E-6</v>
      </c>
      <c r="U81" s="34">
        <v>-11</v>
      </c>
      <c r="V81" s="33">
        <f t="shared" si="58"/>
        <v>-52.088830721913531</v>
      </c>
      <c r="W81" s="97">
        <f t="shared" si="55"/>
        <v>6.1818281494498103E-6</v>
      </c>
      <c r="X81" s="34">
        <v>-11</v>
      </c>
      <c r="Y81" s="33">
        <f t="shared" si="56"/>
        <v>-52.088830721913531</v>
      </c>
      <c r="Z81" s="97">
        <f t="shared" si="42"/>
        <v>6.1818281494498103E-6</v>
      </c>
    </row>
    <row r="82" spans="2:26" x14ac:dyDescent="0.2">
      <c r="B82" s="13">
        <v>2500</v>
      </c>
      <c r="C82" s="33">
        <f>'3º Alta Frec'!J75</f>
        <v>37.855127092437783</v>
      </c>
      <c r="D82" s="33">
        <f>'3º Alta Frec'!T75</f>
        <v>46.051760715146933</v>
      </c>
      <c r="E82" s="34">
        <f t="shared" si="39"/>
        <v>2</v>
      </c>
      <c r="F82" s="112">
        <f t="shared" si="40"/>
        <v>40.252887603359454</v>
      </c>
      <c r="G82" s="13">
        <v>56</v>
      </c>
      <c r="H82" s="18">
        <f t="shared" si="50"/>
        <v>42</v>
      </c>
      <c r="I82" s="18">
        <f t="shared" si="51"/>
        <v>41</v>
      </c>
      <c r="J82" s="18">
        <f t="shared" si="52"/>
        <v>40</v>
      </c>
      <c r="K82" s="79">
        <f t="shared" si="46"/>
        <v>0</v>
      </c>
      <c r="L82" s="33">
        <f t="shared" si="47"/>
        <v>0</v>
      </c>
      <c r="M82" s="98">
        <f t="shared" si="48"/>
        <v>0</v>
      </c>
      <c r="N82" s="66">
        <f t="shared" si="49"/>
        <v>0.25288760335945426</v>
      </c>
      <c r="O82" s="99">
        <v>-9</v>
      </c>
      <c r="P82" s="33">
        <f t="shared" si="53"/>
        <v>-49.252887603359454</v>
      </c>
      <c r="Q82" s="97">
        <f t="shared" si="57"/>
        <v>1.1877122606090228E-5</v>
      </c>
      <c r="R82" s="34">
        <v>-10</v>
      </c>
      <c r="S82" s="33">
        <f t="shared" si="54"/>
        <v>-50.252887603359454</v>
      </c>
      <c r="T82" s="97">
        <f t="shared" si="44"/>
        <v>9.4343338332995183E-6</v>
      </c>
      <c r="U82" s="34">
        <v>-13</v>
      </c>
      <c r="V82" s="33">
        <f t="shared" si="58"/>
        <v>-53.252887603359454</v>
      </c>
      <c r="W82" s="97">
        <f t="shared" si="55"/>
        <v>4.7283676750275625E-6</v>
      </c>
      <c r="X82" s="34">
        <v>-13</v>
      </c>
      <c r="Y82" s="33">
        <f t="shared" si="56"/>
        <v>-53.252887603359454</v>
      </c>
      <c r="Z82" s="97">
        <f t="shared" si="42"/>
        <v>4.7283676750275625E-6</v>
      </c>
    </row>
    <row r="83" spans="2:26" x14ac:dyDescent="0.2">
      <c r="B83" s="13">
        <v>3150</v>
      </c>
      <c r="C83" s="33">
        <f>'3º Alta Frec'!J76</f>
        <v>35.688416504683765</v>
      </c>
      <c r="D83" s="33">
        <f>'3º Alta Frec'!T76</f>
        <v>42.879413689184027</v>
      </c>
      <c r="E83" s="34">
        <f t="shared" si="39"/>
        <v>2</v>
      </c>
      <c r="F83" s="112">
        <f t="shared" si="40"/>
        <v>37.939812247825188</v>
      </c>
      <c r="G83" s="13">
        <v>56</v>
      </c>
      <c r="H83" s="18">
        <f t="shared" si="50"/>
        <v>42</v>
      </c>
      <c r="I83" s="18">
        <f t="shared" si="51"/>
        <v>41</v>
      </c>
      <c r="J83" s="18">
        <f t="shared" si="52"/>
        <v>40</v>
      </c>
      <c r="K83" s="79">
        <f t="shared" si="46"/>
        <v>0</v>
      </c>
      <c r="L83" s="33">
        <f t="shared" si="47"/>
        <v>0</v>
      </c>
      <c r="M83" s="98">
        <f t="shared" si="48"/>
        <v>0</v>
      </c>
      <c r="N83" s="66">
        <f t="shared" si="49"/>
        <v>0</v>
      </c>
      <c r="O83" s="99">
        <v>-9</v>
      </c>
      <c r="P83" s="33">
        <f t="shared" si="53"/>
        <v>-46.939812247825188</v>
      </c>
      <c r="Q83" s="97">
        <f t="shared" si="57"/>
        <v>2.0231066387950015E-5</v>
      </c>
      <c r="R83" s="34">
        <v>-10</v>
      </c>
      <c r="S83" s="33">
        <f t="shared" si="54"/>
        <v>-47.939812247825188</v>
      </c>
      <c r="T83" s="97">
        <f t="shared" si="44"/>
        <v>1.6070107250530096E-5</v>
      </c>
      <c r="U83" s="34">
        <v>-15</v>
      </c>
      <c r="V83" s="33">
        <f t="shared" si="58"/>
        <v>-52.939812247825188</v>
      </c>
      <c r="W83" s="97">
        <f t="shared" si="55"/>
        <v>5.0818141154861273E-6</v>
      </c>
      <c r="X83" s="34">
        <v>-15</v>
      </c>
      <c r="Y83" s="33">
        <f t="shared" si="56"/>
        <v>-52.939812247825188</v>
      </c>
      <c r="Z83" s="97">
        <f t="shared" si="42"/>
        <v>5.0818141154861273E-6</v>
      </c>
    </row>
    <row r="84" spans="2:26" x14ac:dyDescent="0.2">
      <c r="B84" s="13">
        <v>4000</v>
      </c>
      <c r="C84" s="33">
        <f>'3º Alta Frec'!J77</f>
        <v>36.201822931817553</v>
      </c>
      <c r="D84" s="33">
        <f>'3º Alta Frec'!T77</f>
        <v>44.582247133485161</v>
      </c>
      <c r="E84" s="34">
        <f t="shared" si="39"/>
        <v>2</v>
      </c>
      <c r="F84" s="112">
        <f t="shared" si="40"/>
        <v>38.623320952282377</v>
      </c>
      <c r="G84" s="13"/>
      <c r="H84" s="18"/>
      <c r="I84" s="18"/>
      <c r="J84" s="18"/>
      <c r="K84" s="13"/>
      <c r="L84" s="18"/>
      <c r="M84" s="95"/>
      <c r="N84" s="96"/>
      <c r="O84" s="99"/>
      <c r="P84" s="18"/>
      <c r="Q84" s="97"/>
      <c r="R84" s="34">
        <v>-10</v>
      </c>
      <c r="S84" s="33">
        <f t="shared" si="54"/>
        <v>-48.623320952282377</v>
      </c>
      <c r="T84" s="97">
        <f t="shared" si="44"/>
        <v>1.3729916776205244E-5</v>
      </c>
      <c r="U84" s="18"/>
      <c r="V84" s="18"/>
      <c r="W84" s="97"/>
      <c r="X84" s="34">
        <v>-16</v>
      </c>
      <c r="Y84" s="33">
        <f t="shared" si="56"/>
        <v>-54.623320952282377</v>
      </c>
      <c r="Z84" s="97">
        <f t="shared" si="42"/>
        <v>3.4487991655905786E-6</v>
      </c>
    </row>
    <row r="85" spans="2:26" x14ac:dyDescent="0.2">
      <c r="B85" s="15">
        <v>5000</v>
      </c>
      <c r="C85" s="33">
        <f>'3º Alta Frec'!J78</f>
        <v>39.459073204930974</v>
      </c>
      <c r="D85" s="33">
        <f>'3º Alta Frec'!T78</f>
        <v>47.81535174215476</v>
      </c>
      <c r="E85" s="24">
        <f t="shared" si="39"/>
        <v>2</v>
      </c>
      <c r="F85" s="113">
        <f t="shared" si="40"/>
        <v>41.877502408759817</v>
      </c>
      <c r="G85" s="15"/>
      <c r="H85" s="16"/>
      <c r="I85" s="16"/>
      <c r="J85" s="16"/>
      <c r="K85" s="13"/>
      <c r="L85" s="18"/>
      <c r="M85" s="95"/>
      <c r="N85" s="96"/>
      <c r="O85" s="13"/>
      <c r="P85" s="18"/>
      <c r="Q85" s="97"/>
      <c r="R85" s="34">
        <v>-10</v>
      </c>
      <c r="S85" s="33">
        <f t="shared" si="54"/>
        <v>-51.877502408759817</v>
      </c>
      <c r="T85" s="97">
        <f t="shared" si="44"/>
        <v>6.4900756506778918E-6</v>
      </c>
      <c r="U85" s="18"/>
      <c r="V85" s="18"/>
      <c r="W85" s="97"/>
      <c r="X85" s="34">
        <v>-18</v>
      </c>
      <c r="Y85" s="33">
        <f t="shared" si="56"/>
        <v>-59.877502408759817</v>
      </c>
      <c r="Z85" s="97">
        <f t="shared" si="42"/>
        <v>1.028607671731703E-6</v>
      </c>
    </row>
    <row r="86" spans="2:26" x14ac:dyDescent="0.2">
      <c r="K86" s="80">
        <f>SUM(K68:K83)</f>
        <v>0</v>
      </c>
      <c r="L86" s="23">
        <f t="shared" ref="L86:N86" si="59">SUM(L68:L83)</f>
        <v>22.183513652180551</v>
      </c>
      <c r="M86" s="102">
        <f t="shared" si="59"/>
        <v>27.272344374094082</v>
      </c>
      <c r="N86" s="59">
        <f t="shared" si="59"/>
        <v>33.525231977453537</v>
      </c>
      <c r="O86" s="79" t="s">
        <v>128</v>
      </c>
      <c r="P86" s="33">
        <f>52-15</f>
        <v>37</v>
      </c>
      <c r="Q86" s="103">
        <f>-10*LOG10(SUM(Q65:Q85))</f>
        <v>36.572571103612241</v>
      </c>
      <c r="R86" s="34"/>
      <c r="S86" s="33"/>
      <c r="T86" s="103">
        <f>-10*LOG10(SUM(T65:T85))</f>
        <v>37.070802162949185</v>
      </c>
      <c r="U86" s="33"/>
      <c r="V86" s="33"/>
      <c r="W86" s="103">
        <f>-10*LOG10(SUM(W65:W85))</f>
        <v>34.902040914873595</v>
      </c>
      <c r="X86" s="34"/>
      <c r="Y86" s="33"/>
      <c r="Z86" s="103">
        <f>-10*LOG10(SUM(Z65:Z85))</f>
        <v>34.443620483598622</v>
      </c>
    </row>
    <row r="87" spans="2:26" x14ac:dyDescent="0.2">
      <c r="O87" s="15"/>
      <c r="P87" s="16"/>
      <c r="Q87" s="114">
        <f>ROUND(Q86,0)-P86</f>
        <v>0</v>
      </c>
      <c r="R87" s="16"/>
      <c r="S87" s="16"/>
      <c r="T87" s="114">
        <f>ROUND(T86,0)-P86</f>
        <v>0</v>
      </c>
      <c r="U87" s="16"/>
      <c r="V87" s="16"/>
      <c r="W87" s="114">
        <f>ROUND(W86,0)-P86</f>
        <v>-2</v>
      </c>
      <c r="X87" s="16"/>
      <c r="Y87" s="16"/>
      <c r="Z87" s="114">
        <f>ROUND(Z86,0)-P86</f>
        <v>-3</v>
      </c>
    </row>
    <row r="89" spans="2:26" x14ac:dyDescent="0.2">
      <c r="D89" s="2" t="s">
        <v>92</v>
      </c>
    </row>
    <row r="91" spans="2:26" x14ac:dyDescent="0.2">
      <c r="F91" s="172" t="s">
        <v>45</v>
      </c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4"/>
    </row>
    <row r="92" spans="2:26" x14ac:dyDescent="0.2">
      <c r="B92" s="43"/>
      <c r="C92" s="44"/>
      <c r="D92" s="44"/>
      <c r="E92" s="44"/>
      <c r="F92" s="184"/>
      <c r="G92" s="162" t="s">
        <v>96</v>
      </c>
      <c r="H92" s="163"/>
      <c r="I92" s="163"/>
      <c r="J92" s="163"/>
      <c r="K92" s="186" t="s">
        <v>95</v>
      </c>
      <c r="L92" s="187"/>
      <c r="M92" s="187"/>
      <c r="N92" s="188"/>
      <c r="O92" s="189" t="s">
        <v>99</v>
      </c>
      <c r="P92" s="190"/>
      <c r="Q92" s="191"/>
      <c r="R92" s="192" t="s">
        <v>97</v>
      </c>
      <c r="S92" s="192"/>
      <c r="T92" s="193"/>
      <c r="U92" s="190" t="s">
        <v>100</v>
      </c>
      <c r="V92" s="190"/>
      <c r="W92" s="191"/>
      <c r="X92" s="192" t="s">
        <v>98</v>
      </c>
      <c r="Y92" s="192"/>
      <c r="Z92" s="193"/>
    </row>
    <row r="93" spans="2:26" ht="31" customHeight="1" x14ac:dyDescent="0.2">
      <c r="B93" s="28"/>
      <c r="C93" s="29"/>
      <c r="D93" s="29"/>
      <c r="E93" s="29" t="s">
        <v>50</v>
      </c>
      <c r="F93" s="185"/>
      <c r="G93" s="15" t="s">
        <v>94</v>
      </c>
      <c r="H93" s="16" t="s">
        <v>117</v>
      </c>
      <c r="I93" s="16" t="s">
        <v>116</v>
      </c>
      <c r="J93" s="16" t="s">
        <v>118</v>
      </c>
      <c r="K93" s="15" t="s">
        <v>94</v>
      </c>
      <c r="L93" s="16" t="s">
        <v>117</v>
      </c>
      <c r="M93" s="16" t="s">
        <v>116</v>
      </c>
      <c r="N93" s="16" t="s">
        <v>118</v>
      </c>
      <c r="O93" s="142" t="s">
        <v>126</v>
      </c>
      <c r="P93" s="143"/>
      <c r="Q93" s="145"/>
      <c r="R93" s="144" t="s">
        <v>126</v>
      </c>
      <c r="S93" s="144"/>
      <c r="T93" s="145"/>
      <c r="U93" s="144" t="s">
        <v>126</v>
      </c>
      <c r="V93" s="143"/>
      <c r="W93" s="145"/>
      <c r="X93" s="144" t="s">
        <v>126</v>
      </c>
      <c r="Y93" s="144"/>
      <c r="Z93" s="145"/>
    </row>
    <row r="94" spans="2:26" x14ac:dyDescent="0.2">
      <c r="B94" s="13">
        <v>50</v>
      </c>
      <c r="C94" s="33">
        <f>'3º Alta Frec'!J85</f>
        <v>29.038596126793482</v>
      </c>
      <c r="D94" s="33">
        <f>'3º Alta Frec'!T85</f>
        <v>26.082285307710652</v>
      </c>
      <c r="E94" s="34">
        <f t="shared" ref="E94:E114" si="60">COUNT(C94:D94)</f>
        <v>2</v>
      </c>
      <c r="F94" s="112">
        <f t="shared" ref="F94:F114" si="61">-10*LOG10((10^(-C94/10)+10^(-D94/10))/E94)</f>
        <v>27.313601618176744</v>
      </c>
      <c r="G94" s="13"/>
      <c r="H94" s="18"/>
      <c r="I94" s="18"/>
      <c r="J94" s="18"/>
      <c r="K94" s="13"/>
      <c r="L94" s="18"/>
      <c r="M94" s="95"/>
      <c r="N94" s="96"/>
      <c r="O94" s="13"/>
      <c r="P94" s="18"/>
      <c r="Q94" s="97"/>
      <c r="R94" s="34">
        <v>-41</v>
      </c>
      <c r="S94" s="33">
        <f>R94-F94</f>
        <v>-68.313601618176747</v>
      </c>
      <c r="T94" s="97">
        <f>10^(S94/10)</f>
        <v>1.4744832323915056E-7</v>
      </c>
      <c r="U94" s="18"/>
      <c r="V94" s="18"/>
      <c r="W94" s="97"/>
      <c r="X94" s="34">
        <v>-25</v>
      </c>
      <c r="Y94" s="33">
        <f t="shared" ref="Y94" si="62">X94-F94</f>
        <v>-52.313601618176747</v>
      </c>
      <c r="Z94" s="97">
        <f t="shared" ref="Z94:Z114" si="63">10^(Y94/10)</f>
        <v>5.870023476759585E-6</v>
      </c>
    </row>
    <row r="95" spans="2:26" x14ac:dyDescent="0.2">
      <c r="B95" s="13">
        <v>63</v>
      </c>
      <c r="C95" s="33">
        <f>'3º Alta Frec'!J86</f>
        <v>35.517901664670447</v>
      </c>
      <c r="D95" s="33">
        <f>'3º Alta Frec'!T86</f>
        <v>28.838523013881705</v>
      </c>
      <c r="E95" s="34">
        <f t="shared" si="60"/>
        <v>2</v>
      </c>
      <c r="F95" s="112">
        <f t="shared" si="61"/>
        <v>31.003725878645902</v>
      </c>
      <c r="G95" s="13"/>
      <c r="H95" s="18"/>
      <c r="I95" s="18"/>
      <c r="J95" s="18"/>
      <c r="K95" s="13"/>
      <c r="L95" s="18"/>
      <c r="M95" s="95"/>
      <c r="N95" s="96"/>
      <c r="O95" s="13"/>
      <c r="P95" s="18"/>
      <c r="Q95" s="97"/>
      <c r="R95" s="34">
        <v>-37</v>
      </c>
      <c r="S95" s="33">
        <f t="shared" ref="S95:S96" si="64">R95-F95</f>
        <v>-68.003725878645895</v>
      </c>
      <c r="T95" s="97">
        <f t="shared" ref="T95:T114" si="65">10^(S95/10)</f>
        <v>1.5835340714900118E-7</v>
      </c>
      <c r="U95" s="18"/>
      <c r="V95" s="18"/>
      <c r="W95" s="97"/>
      <c r="X95" s="34">
        <v>-23</v>
      </c>
      <c r="Y95" s="33">
        <f>X95-F95</f>
        <v>-54.003725878645902</v>
      </c>
      <c r="Z95" s="97">
        <f t="shared" si="63"/>
        <v>3.9776577480088783E-6</v>
      </c>
    </row>
    <row r="96" spans="2:26" x14ac:dyDescent="0.2">
      <c r="B96" s="13">
        <v>80</v>
      </c>
      <c r="C96" s="33">
        <f>'3º Alta Frec'!J87</f>
        <v>29.47178883386977</v>
      </c>
      <c r="D96" s="33">
        <f>'3º Alta Frec'!T87</f>
        <v>26.714723178261199</v>
      </c>
      <c r="E96" s="34">
        <f t="shared" si="60"/>
        <v>2</v>
      </c>
      <c r="F96" s="112">
        <f t="shared" si="61"/>
        <v>27.878047980402336</v>
      </c>
      <c r="G96" s="13"/>
      <c r="H96" s="18"/>
      <c r="I96" s="18"/>
      <c r="J96" s="18"/>
      <c r="K96" s="13"/>
      <c r="L96" s="18"/>
      <c r="M96" s="95"/>
      <c r="N96" s="96"/>
      <c r="O96" s="13"/>
      <c r="P96" s="18"/>
      <c r="Q96" s="97"/>
      <c r="R96" s="34">
        <v>-34</v>
      </c>
      <c r="S96" s="33">
        <f t="shared" si="64"/>
        <v>-61.878047980402336</v>
      </c>
      <c r="T96" s="97">
        <f t="shared" si="65"/>
        <v>6.4892604022721527E-7</v>
      </c>
      <c r="U96" s="18"/>
      <c r="V96" s="18"/>
      <c r="W96" s="97"/>
      <c r="X96" s="34">
        <v>-21</v>
      </c>
      <c r="Y96" s="33">
        <f t="shared" ref="Y96" si="66">X96-F96</f>
        <v>-48.878047980402336</v>
      </c>
      <c r="Z96" s="97">
        <f t="shared" si="63"/>
        <v>1.2947776732673419E-5</v>
      </c>
    </row>
    <row r="97" spans="2:26" x14ac:dyDescent="0.2">
      <c r="B97" s="13">
        <v>100</v>
      </c>
      <c r="C97" s="33">
        <f>'3º Alta Frec'!J88</f>
        <v>33.097563581095848</v>
      </c>
      <c r="D97" s="33">
        <f>'3º Alta Frec'!T88</f>
        <v>35.413308590075466</v>
      </c>
      <c r="E97" s="34">
        <f t="shared" si="60"/>
        <v>2</v>
      </c>
      <c r="F97" s="112">
        <f t="shared" si="61"/>
        <v>34.102880522313363</v>
      </c>
      <c r="G97" s="13">
        <v>33</v>
      </c>
      <c r="H97" s="18">
        <f>$G97-10</f>
        <v>23</v>
      </c>
      <c r="I97" s="18">
        <f>$G97-11</f>
        <v>22</v>
      </c>
      <c r="J97" s="34">
        <f>$G97-12</f>
        <v>21</v>
      </c>
      <c r="K97" s="79">
        <f t="shared" ref="K97:K112" si="67">IF((F97-G97)&gt;0,F97-G97,0)</f>
        <v>1.1028805223133631</v>
      </c>
      <c r="L97" s="33">
        <f t="shared" ref="L97:L112" si="68">IF((F97-H97)&gt;0,F97-H97,0)</f>
        <v>11.102880522313363</v>
      </c>
      <c r="M97" s="98">
        <f t="shared" ref="M97:M112" si="69">IF((F97-I97)&gt;0,F97-I97,0)</f>
        <v>12.102880522313363</v>
      </c>
      <c r="N97" s="66">
        <f t="shared" ref="N97:N112" si="70">IF((F97-J97)&gt;0,F97-J97,0)</f>
        <v>13.102880522313363</v>
      </c>
      <c r="O97" s="99">
        <v>-29</v>
      </c>
      <c r="P97" s="33">
        <f>O97-F97</f>
        <v>-63.102880522313363</v>
      </c>
      <c r="Q97" s="97">
        <f>10^(P97/10)</f>
        <v>4.8945407403854041E-7</v>
      </c>
      <c r="R97" s="34">
        <v>-30</v>
      </c>
      <c r="S97" s="33">
        <f>R97-F97</f>
        <v>-64.10288052231337</v>
      </c>
      <c r="T97" s="97">
        <f>10^(S97/10)</f>
        <v>3.8878719060964122E-7</v>
      </c>
      <c r="U97" s="34">
        <v>-20</v>
      </c>
      <c r="V97" s="33">
        <f>U97-F97</f>
        <v>-54.102880522313363</v>
      </c>
      <c r="W97" s="97">
        <f>10^(V97/10)</f>
        <v>3.8878719060964169E-6</v>
      </c>
      <c r="X97" s="34">
        <v>-20</v>
      </c>
      <c r="Y97" s="33">
        <f>X97-F97</f>
        <v>-54.102880522313363</v>
      </c>
      <c r="Z97" s="97">
        <f>10^(Y97/10)</f>
        <v>3.8878719060964169E-6</v>
      </c>
    </row>
    <row r="98" spans="2:26" x14ac:dyDescent="0.2">
      <c r="B98" s="13">
        <v>125</v>
      </c>
      <c r="C98" s="33">
        <f>'3º Alta Frec'!J89</f>
        <v>26.294918184987647</v>
      </c>
      <c r="D98" s="33">
        <f>'3º Alta Frec'!T89</f>
        <v>34.854328842992423</v>
      </c>
      <c r="E98" s="34">
        <f t="shared" si="60"/>
        <v>2</v>
      </c>
      <c r="F98" s="112">
        <f t="shared" si="61"/>
        <v>28.73870532676537</v>
      </c>
      <c r="G98" s="13">
        <v>36</v>
      </c>
      <c r="H98" s="18">
        <f t="shared" ref="H98:H112" si="71">$G98-10</f>
        <v>26</v>
      </c>
      <c r="I98" s="18">
        <f t="shared" ref="I98:I112" si="72">$G98-11</f>
        <v>25</v>
      </c>
      <c r="J98" s="34">
        <f t="shared" ref="J98:J112" si="73">$G98-12</f>
        <v>24</v>
      </c>
      <c r="K98" s="79">
        <f t="shared" si="67"/>
        <v>0</v>
      </c>
      <c r="L98" s="33">
        <f t="shared" si="68"/>
        <v>2.7387053267653698</v>
      </c>
      <c r="M98" s="98">
        <f t="shared" si="69"/>
        <v>3.7387053267653698</v>
      </c>
      <c r="N98" s="66">
        <f t="shared" si="70"/>
        <v>4.7387053267653698</v>
      </c>
      <c r="O98" s="99">
        <v>-26</v>
      </c>
      <c r="P98" s="33">
        <f t="shared" ref="P98:P112" si="74">O98-F98</f>
        <v>-54.73870532676537</v>
      </c>
      <c r="Q98" s="97">
        <f>10^(P98/10)</f>
        <v>3.3583771574487995E-6</v>
      </c>
      <c r="R98" s="34">
        <v>-27</v>
      </c>
      <c r="S98" s="33">
        <f t="shared" ref="S98:S114" si="75">R98-F98</f>
        <v>-55.73870532676537</v>
      </c>
      <c r="T98" s="97">
        <f t="shared" si="65"/>
        <v>2.6676537990146576E-6</v>
      </c>
      <c r="U98" s="34">
        <v>-20</v>
      </c>
      <c r="V98" s="33">
        <f>U98-F98</f>
        <v>-48.73870532676537</v>
      </c>
      <c r="W98" s="97">
        <f t="shared" ref="W98:W112" si="76">10^(V98/10)</f>
        <v>1.3369940278034401E-5</v>
      </c>
      <c r="X98" s="34">
        <v>-20</v>
      </c>
      <c r="Y98" s="33">
        <f t="shared" ref="Y98:Y114" si="77">X98-F98</f>
        <v>-48.73870532676537</v>
      </c>
      <c r="Z98" s="97">
        <f t="shared" si="63"/>
        <v>1.3369940278034401E-5</v>
      </c>
    </row>
    <row r="99" spans="2:26" x14ac:dyDescent="0.2">
      <c r="B99" s="13">
        <v>160</v>
      </c>
      <c r="C99" s="33">
        <f>'3º Alta Frec'!J90</f>
        <v>30.078525626003309</v>
      </c>
      <c r="D99" s="33">
        <f>'3º Alta Frec'!T90</f>
        <v>36.812431816383011</v>
      </c>
      <c r="E99" s="34">
        <f t="shared" si="60"/>
        <v>2</v>
      </c>
      <c r="F99" s="112">
        <f t="shared" si="61"/>
        <v>32.253320825635122</v>
      </c>
      <c r="G99" s="13">
        <v>39</v>
      </c>
      <c r="H99" s="18">
        <f t="shared" si="71"/>
        <v>29</v>
      </c>
      <c r="I99" s="18">
        <f t="shared" si="72"/>
        <v>28</v>
      </c>
      <c r="J99" s="34">
        <f t="shared" si="73"/>
        <v>27</v>
      </c>
      <c r="K99" s="79">
        <f t="shared" si="67"/>
        <v>0</v>
      </c>
      <c r="L99" s="33">
        <f t="shared" si="68"/>
        <v>3.2533208256351216</v>
      </c>
      <c r="M99" s="98">
        <f t="shared" si="69"/>
        <v>4.2533208256351216</v>
      </c>
      <c r="N99" s="66">
        <f t="shared" si="70"/>
        <v>5.2533208256351216</v>
      </c>
      <c r="O99" s="99">
        <v>-23</v>
      </c>
      <c r="P99" s="33">
        <f t="shared" si="74"/>
        <v>-55.253320825635122</v>
      </c>
      <c r="Q99" s="97">
        <f t="shared" ref="Q99:Q112" si="78">10^(P99/10)</f>
        <v>2.9831007235282394E-6</v>
      </c>
      <c r="R99" s="34">
        <v>-24</v>
      </c>
      <c r="S99" s="33">
        <f t="shared" si="75"/>
        <v>-56.253320825635122</v>
      </c>
      <c r="T99" s="97">
        <f t="shared" si="65"/>
        <v>2.3695611317249152E-6</v>
      </c>
      <c r="U99" s="34">
        <v>-18</v>
      </c>
      <c r="V99" s="33">
        <f t="shared" ref="V99:V112" si="79">U99-F99</f>
        <v>-50.253320825635122</v>
      </c>
      <c r="W99" s="97">
        <f t="shared" si="76"/>
        <v>9.4333927760454859E-6</v>
      </c>
      <c r="X99" s="34">
        <v>-18</v>
      </c>
      <c r="Y99" s="33">
        <f t="shared" si="77"/>
        <v>-50.253320825635122</v>
      </c>
      <c r="Z99" s="97">
        <f t="shared" si="63"/>
        <v>9.4333927760454859E-6</v>
      </c>
    </row>
    <row r="100" spans="2:26" x14ac:dyDescent="0.2">
      <c r="B100" s="13">
        <v>200</v>
      </c>
      <c r="C100" s="33">
        <f>'3º Alta Frec'!J91</f>
        <v>36.488666880881837</v>
      </c>
      <c r="D100" s="33">
        <f>'3º Alta Frec'!T91</f>
        <v>34.551107246200473</v>
      </c>
      <c r="E100" s="34">
        <f t="shared" si="60"/>
        <v>2</v>
      </c>
      <c r="F100" s="112">
        <f t="shared" si="61"/>
        <v>35.412718710932857</v>
      </c>
      <c r="G100" s="13">
        <v>42</v>
      </c>
      <c r="H100" s="18">
        <f t="shared" si="71"/>
        <v>32</v>
      </c>
      <c r="I100" s="18">
        <f t="shared" si="72"/>
        <v>31</v>
      </c>
      <c r="J100" s="34">
        <f t="shared" si="73"/>
        <v>30</v>
      </c>
      <c r="K100" s="79">
        <f t="shared" si="67"/>
        <v>0</v>
      </c>
      <c r="L100" s="33">
        <f t="shared" si="68"/>
        <v>3.4127187109328574</v>
      </c>
      <c r="M100" s="98">
        <f t="shared" si="69"/>
        <v>4.4127187109328574</v>
      </c>
      <c r="N100" s="66">
        <f t="shared" si="70"/>
        <v>5.4127187109328574</v>
      </c>
      <c r="O100" s="99">
        <v>-21</v>
      </c>
      <c r="P100" s="33">
        <f t="shared" si="74"/>
        <v>-56.412718710932857</v>
      </c>
      <c r="Q100" s="97">
        <f t="shared" si="78"/>
        <v>2.2841684518156805E-6</v>
      </c>
      <c r="R100" s="34">
        <v>-22</v>
      </c>
      <c r="S100" s="33">
        <f t="shared" si="75"/>
        <v>-57.412718710932857</v>
      </c>
      <c r="T100" s="97">
        <f t="shared" si="65"/>
        <v>1.8143794941436461E-6</v>
      </c>
      <c r="U100" s="34">
        <v>-16</v>
      </c>
      <c r="V100" s="33">
        <f t="shared" si="79"/>
        <v>-51.412718710932857</v>
      </c>
      <c r="W100" s="97">
        <f t="shared" si="76"/>
        <v>7.2231748672381231E-6</v>
      </c>
      <c r="X100" s="34">
        <v>-16</v>
      </c>
      <c r="Y100" s="33">
        <f t="shared" si="77"/>
        <v>-51.412718710932857</v>
      </c>
      <c r="Z100" s="97">
        <f t="shared" si="63"/>
        <v>7.2231748672381231E-6</v>
      </c>
    </row>
    <row r="101" spans="2:26" x14ac:dyDescent="0.2">
      <c r="B101" s="13">
        <v>250</v>
      </c>
      <c r="C101" s="33">
        <f>'3º Alta Frec'!J92</f>
        <v>36.97397690164243</v>
      </c>
      <c r="D101" s="33">
        <f>'3º Alta Frec'!T92</f>
        <v>32.269674648933758</v>
      </c>
      <c r="E101" s="34">
        <f t="shared" si="60"/>
        <v>2</v>
      </c>
      <c r="F101" s="112">
        <f t="shared" si="61"/>
        <v>34.013762774408065</v>
      </c>
      <c r="G101" s="100">
        <v>45</v>
      </c>
      <c r="H101" s="18">
        <f t="shared" si="71"/>
        <v>35</v>
      </c>
      <c r="I101" s="18">
        <f t="shared" si="72"/>
        <v>34</v>
      </c>
      <c r="J101" s="34">
        <f t="shared" si="73"/>
        <v>33</v>
      </c>
      <c r="K101" s="79">
        <f t="shared" si="67"/>
        <v>0</v>
      </c>
      <c r="L101" s="33">
        <f t="shared" si="68"/>
        <v>0</v>
      </c>
      <c r="M101" s="98">
        <f t="shared" si="69"/>
        <v>1.3762774408064615E-2</v>
      </c>
      <c r="N101" s="66">
        <f t="shared" si="70"/>
        <v>1.0137627744080646</v>
      </c>
      <c r="O101" s="99">
        <v>-19</v>
      </c>
      <c r="P101" s="33">
        <f t="shared" si="74"/>
        <v>-53.013762774408065</v>
      </c>
      <c r="Q101" s="97">
        <f t="shared" si="78"/>
        <v>4.9960148726818529E-6</v>
      </c>
      <c r="R101" s="34">
        <v>-20</v>
      </c>
      <c r="S101" s="33">
        <f t="shared" si="75"/>
        <v>-54.013762774408065</v>
      </c>
      <c r="T101" s="97">
        <f t="shared" si="65"/>
        <v>3.9684756744736361E-6</v>
      </c>
      <c r="U101" s="34">
        <v>-15</v>
      </c>
      <c r="V101" s="33">
        <f t="shared" si="79"/>
        <v>-49.013762774408065</v>
      </c>
      <c r="W101" s="97">
        <f t="shared" si="76"/>
        <v>1.2549421970309629E-5</v>
      </c>
      <c r="X101" s="34">
        <v>-15</v>
      </c>
      <c r="Y101" s="33">
        <f t="shared" si="77"/>
        <v>-49.013762774408065</v>
      </c>
      <c r="Z101" s="97">
        <f t="shared" si="63"/>
        <v>1.2549421970309629E-5</v>
      </c>
    </row>
    <row r="102" spans="2:26" x14ac:dyDescent="0.2">
      <c r="B102" s="13">
        <v>315</v>
      </c>
      <c r="C102" s="33">
        <f>'3º Alta Frec'!J93</f>
        <v>31.222821858624204</v>
      </c>
      <c r="D102" s="33">
        <f>'3º Alta Frec'!T93</f>
        <v>34.169626336308134</v>
      </c>
      <c r="E102" s="34">
        <f t="shared" si="60"/>
        <v>2</v>
      </c>
      <c r="F102" s="112">
        <f t="shared" si="61"/>
        <v>32.450940750590014</v>
      </c>
      <c r="G102" s="100">
        <v>48</v>
      </c>
      <c r="H102" s="18">
        <f t="shared" si="71"/>
        <v>38</v>
      </c>
      <c r="I102" s="18">
        <f t="shared" si="72"/>
        <v>37</v>
      </c>
      <c r="J102" s="34">
        <f t="shared" si="73"/>
        <v>36</v>
      </c>
      <c r="K102" s="79">
        <f t="shared" si="67"/>
        <v>0</v>
      </c>
      <c r="L102" s="33">
        <f t="shared" si="68"/>
        <v>0</v>
      </c>
      <c r="M102" s="98">
        <f t="shared" si="69"/>
        <v>0</v>
      </c>
      <c r="N102" s="66">
        <f t="shared" si="70"/>
        <v>0</v>
      </c>
      <c r="O102" s="99">
        <v>-17</v>
      </c>
      <c r="P102" s="33">
        <f t="shared" si="74"/>
        <v>-49.450940750590014</v>
      </c>
      <c r="Q102" s="97">
        <f t="shared" si="78"/>
        <v>1.1347649809909469E-5</v>
      </c>
      <c r="R102" s="34">
        <v>-18</v>
      </c>
      <c r="S102" s="33">
        <f t="shared" si="75"/>
        <v>-50.450940750590014</v>
      </c>
      <c r="T102" s="97">
        <f t="shared" si="65"/>
        <v>9.0137586417747245E-6</v>
      </c>
      <c r="U102" s="34">
        <v>-14</v>
      </c>
      <c r="V102" s="33">
        <f t="shared" si="79"/>
        <v>-46.450940750590014</v>
      </c>
      <c r="W102" s="97">
        <f t="shared" si="76"/>
        <v>2.2641538029176145E-5</v>
      </c>
      <c r="X102" s="34">
        <v>-14</v>
      </c>
      <c r="Y102" s="33">
        <f t="shared" si="77"/>
        <v>-46.450940750590014</v>
      </c>
      <c r="Z102" s="97">
        <f t="shared" si="63"/>
        <v>2.2641538029176145E-5</v>
      </c>
    </row>
    <row r="103" spans="2:26" x14ac:dyDescent="0.2">
      <c r="B103" s="13">
        <v>400</v>
      </c>
      <c r="C103" s="33">
        <f>'3º Alta Frec'!J94</f>
        <v>36.304629880334893</v>
      </c>
      <c r="D103" s="33">
        <f>'3º Alta Frec'!T94</f>
        <v>34.609152346770365</v>
      </c>
      <c r="E103" s="34">
        <f t="shared" si="60"/>
        <v>2</v>
      </c>
      <c r="F103" s="112">
        <f t="shared" si="61"/>
        <v>35.374672357566666</v>
      </c>
      <c r="G103" s="100">
        <v>51</v>
      </c>
      <c r="H103" s="18">
        <f t="shared" si="71"/>
        <v>41</v>
      </c>
      <c r="I103" s="18">
        <f t="shared" si="72"/>
        <v>40</v>
      </c>
      <c r="J103" s="34">
        <f t="shared" si="73"/>
        <v>39</v>
      </c>
      <c r="K103" s="79">
        <f t="shared" si="67"/>
        <v>0</v>
      </c>
      <c r="L103" s="33">
        <f t="shared" si="68"/>
        <v>0</v>
      </c>
      <c r="M103" s="98">
        <f t="shared" si="69"/>
        <v>0</v>
      </c>
      <c r="N103" s="66">
        <f t="shared" si="70"/>
        <v>0</v>
      </c>
      <c r="O103" s="99">
        <v>-15</v>
      </c>
      <c r="P103" s="33">
        <f t="shared" si="74"/>
        <v>-50.374672357566666</v>
      </c>
      <c r="Q103" s="97">
        <f t="shared" si="78"/>
        <v>9.1734513955170021E-6</v>
      </c>
      <c r="R103" s="34">
        <v>-16</v>
      </c>
      <c r="S103" s="33">
        <f t="shared" si="75"/>
        <v>-51.374672357566666</v>
      </c>
      <c r="T103" s="97">
        <f t="shared" si="65"/>
        <v>7.2867314533300249E-6</v>
      </c>
      <c r="U103" s="34">
        <v>-13</v>
      </c>
      <c r="V103" s="33">
        <f t="shared" si="79"/>
        <v>-48.374672357566666</v>
      </c>
      <c r="W103" s="97">
        <f t="shared" si="76"/>
        <v>1.4538940668127798E-5</v>
      </c>
      <c r="X103" s="34">
        <v>-13</v>
      </c>
      <c r="Y103" s="33">
        <f t="shared" si="77"/>
        <v>-48.374672357566666</v>
      </c>
      <c r="Z103" s="97">
        <f t="shared" si="63"/>
        <v>1.4538940668127798E-5</v>
      </c>
    </row>
    <row r="104" spans="2:26" x14ac:dyDescent="0.2">
      <c r="B104" s="13">
        <v>500</v>
      </c>
      <c r="C104" s="33">
        <f>'3º Alta Frec'!J95</f>
        <v>34.129086989107783</v>
      </c>
      <c r="D104" s="33">
        <f>'3º Alta Frec'!T95</f>
        <v>34.647840962975344</v>
      </c>
      <c r="E104" s="34">
        <f t="shared" si="60"/>
        <v>2</v>
      </c>
      <c r="F104" s="112">
        <f t="shared" si="61"/>
        <v>34.380723092017426</v>
      </c>
      <c r="G104" s="101">
        <v>52</v>
      </c>
      <c r="H104" s="18">
        <f t="shared" si="71"/>
        <v>42</v>
      </c>
      <c r="I104" s="95">
        <f t="shared" si="72"/>
        <v>41</v>
      </c>
      <c r="J104" s="34">
        <f t="shared" si="73"/>
        <v>40</v>
      </c>
      <c r="K104" s="79">
        <f t="shared" si="67"/>
        <v>0</v>
      </c>
      <c r="L104" s="33">
        <f t="shared" si="68"/>
        <v>0</v>
      </c>
      <c r="M104" s="98">
        <f t="shared" si="69"/>
        <v>0</v>
      </c>
      <c r="N104" s="66">
        <f t="shared" si="70"/>
        <v>0</v>
      </c>
      <c r="O104" s="99">
        <v>-13</v>
      </c>
      <c r="P104" s="33">
        <f t="shared" si="74"/>
        <v>-47.380723092017426</v>
      </c>
      <c r="Q104" s="97">
        <f t="shared" si="78"/>
        <v>1.8277958662859303E-5</v>
      </c>
      <c r="R104" s="34">
        <v>-14</v>
      </c>
      <c r="S104" s="33">
        <f t="shared" si="75"/>
        <v>-48.380723092017426</v>
      </c>
      <c r="T104" s="97">
        <f t="shared" si="65"/>
        <v>1.4518698639032381E-5</v>
      </c>
      <c r="U104" s="34">
        <v>-12</v>
      </c>
      <c r="V104" s="33">
        <f t="shared" si="79"/>
        <v>-46.380723092017426</v>
      </c>
      <c r="W104" s="97">
        <f t="shared" si="76"/>
        <v>2.3010586636396891E-5</v>
      </c>
      <c r="X104" s="34">
        <v>-12</v>
      </c>
      <c r="Y104" s="33">
        <f t="shared" si="77"/>
        <v>-46.380723092017426</v>
      </c>
      <c r="Z104" s="97">
        <f t="shared" si="63"/>
        <v>2.3010586636396891E-5</v>
      </c>
    </row>
    <row r="105" spans="2:26" x14ac:dyDescent="0.2">
      <c r="B105" s="13">
        <v>630</v>
      </c>
      <c r="C105" s="33">
        <f>'3º Alta Frec'!J96</f>
        <v>35.579816219930912</v>
      </c>
      <c r="D105" s="33">
        <f>'3º Alta Frec'!T96</f>
        <v>36.783259346050549</v>
      </c>
      <c r="E105" s="34">
        <f t="shared" si="60"/>
        <v>2</v>
      </c>
      <c r="F105" s="112">
        <f t="shared" si="61"/>
        <v>36.13998575553137</v>
      </c>
      <c r="G105" s="13">
        <v>53</v>
      </c>
      <c r="H105" s="18">
        <f t="shared" si="71"/>
        <v>43</v>
      </c>
      <c r="I105" s="18">
        <f t="shared" si="72"/>
        <v>42</v>
      </c>
      <c r="J105" s="34">
        <f t="shared" si="73"/>
        <v>41</v>
      </c>
      <c r="K105" s="79">
        <f t="shared" si="67"/>
        <v>0</v>
      </c>
      <c r="L105" s="33">
        <f t="shared" si="68"/>
        <v>0</v>
      </c>
      <c r="M105" s="98">
        <f t="shared" si="69"/>
        <v>0</v>
      </c>
      <c r="N105" s="66">
        <f t="shared" si="70"/>
        <v>0</v>
      </c>
      <c r="O105" s="99">
        <v>-12</v>
      </c>
      <c r="P105" s="33">
        <f t="shared" si="74"/>
        <v>-48.13998575553137</v>
      </c>
      <c r="Q105" s="97">
        <f t="shared" si="78"/>
        <v>1.5346220162133074E-5</v>
      </c>
      <c r="R105" s="34">
        <v>-13</v>
      </c>
      <c r="S105" s="33">
        <f t="shared" si="75"/>
        <v>-49.13998575553137</v>
      </c>
      <c r="T105" s="97">
        <f t="shared" si="65"/>
        <v>1.2189935971077354E-5</v>
      </c>
      <c r="U105" s="34">
        <v>-11</v>
      </c>
      <c r="V105" s="33">
        <f t="shared" si="79"/>
        <v>-47.13998575553137</v>
      </c>
      <c r="W105" s="97">
        <f t="shared" si="76"/>
        <v>1.9319746537097347E-5</v>
      </c>
      <c r="X105" s="34">
        <v>-11</v>
      </c>
      <c r="Y105" s="33">
        <f t="shared" si="77"/>
        <v>-47.13998575553137</v>
      </c>
      <c r="Z105" s="97">
        <f t="shared" si="63"/>
        <v>1.9319746537097347E-5</v>
      </c>
    </row>
    <row r="106" spans="2:26" x14ac:dyDescent="0.2">
      <c r="B106" s="13">
        <v>800</v>
      </c>
      <c r="C106" s="33">
        <f>'3º Alta Frec'!J97</f>
        <v>37.759894677969783</v>
      </c>
      <c r="D106" s="33">
        <f>'3º Alta Frec'!T97</f>
        <v>38.03146445601584</v>
      </c>
      <c r="E106" s="34">
        <f t="shared" si="60"/>
        <v>2</v>
      </c>
      <c r="F106" s="112">
        <f t="shared" si="61"/>
        <v>37.893557212952523</v>
      </c>
      <c r="G106" s="13">
        <v>54</v>
      </c>
      <c r="H106" s="18">
        <f t="shared" si="71"/>
        <v>44</v>
      </c>
      <c r="I106" s="18">
        <f t="shared" si="72"/>
        <v>43</v>
      </c>
      <c r="J106" s="34">
        <f t="shared" si="73"/>
        <v>42</v>
      </c>
      <c r="K106" s="79">
        <f t="shared" si="67"/>
        <v>0</v>
      </c>
      <c r="L106" s="33">
        <f t="shared" si="68"/>
        <v>0</v>
      </c>
      <c r="M106" s="98">
        <f t="shared" si="69"/>
        <v>0</v>
      </c>
      <c r="N106" s="66">
        <f t="shared" si="70"/>
        <v>0</v>
      </c>
      <c r="O106" s="99">
        <v>-11</v>
      </c>
      <c r="P106" s="33">
        <f t="shared" si="74"/>
        <v>-48.893557212952523</v>
      </c>
      <c r="Q106" s="97">
        <f t="shared" si="78"/>
        <v>1.2901620966155695E-5</v>
      </c>
      <c r="R106" s="34">
        <v>-12</v>
      </c>
      <c r="S106" s="33">
        <f t="shared" si="75"/>
        <v>-49.893557212952523</v>
      </c>
      <c r="T106" s="97">
        <f t="shared" si="65"/>
        <v>1.0248121807128224E-5</v>
      </c>
      <c r="U106" s="34">
        <v>-9</v>
      </c>
      <c r="V106" s="33">
        <f t="shared" si="79"/>
        <v>-46.893557212952523</v>
      </c>
      <c r="W106" s="97">
        <f t="shared" si="76"/>
        <v>2.0447691240973768E-5</v>
      </c>
      <c r="X106" s="34">
        <v>-9</v>
      </c>
      <c r="Y106" s="33">
        <f t="shared" si="77"/>
        <v>-46.893557212952523</v>
      </c>
      <c r="Z106" s="97">
        <f t="shared" si="63"/>
        <v>2.0447691240973768E-5</v>
      </c>
    </row>
    <row r="107" spans="2:26" x14ac:dyDescent="0.2">
      <c r="B107" s="13">
        <v>1000</v>
      </c>
      <c r="C107" s="33">
        <f>'3º Alta Frec'!J98</f>
        <v>40.714876782178656</v>
      </c>
      <c r="D107" s="33">
        <f>'3º Alta Frec'!T98</f>
        <v>40.381692832995938</v>
      </c>
      <c r="E107" s="34">
        <f t="shared" si="60"/>
        <v>2</v>
      </c>
      <c r="F107" s="112">
        <f t="shared" si="61"/>
        <v>40.545090421778418</v>
      </c>
      <c r="G107" s="13">
        <v>55</v>
      </c>
      <c r="H107" s="18">
        <f t="shared" si="71"/>
        <v>45</v>
      </c>
      <c r="I107" s="18">
        <f t="shared" si="72"/>
        <v>44</v>
      </c>
      <c r="J107" s="34">
        <f t="shared" si="73"/>
        <v>43</v>
      </c>
      <c r="K107" s="79">
        <f t="shared" si="67"/>
        <v>0</v>
      </c>
      <c r="L107" s="33">
        <f t="shared" si="68"/>
        <v>0</v>
      </c>
      <c r="M107" s="98">
        <f t="shared" si="69"/>
        <v>0</v>
      </c>
      <c r="N107" s="66">
        <f t="shared" si="70"/>
        <v>0</v>
      </c>
      <c r="O107" s="99">
        <v>-10</v>
      </c>
      <c r="P107" s="33">
        <f t="shared" si="74"/>
        <v>-50.545090421778418</v>
      </c>
      <c r="Q107" s="97">
        <f t="shared" si="78"/>
        <v>8.8204543742086144E-6</v>
      </c>
      <c r="R107" s="34">
        <v>-11</v>
      </c>
      <c r="S107" s="33">
        <f t="shared" si="75"/>
        <v>-51.545090421778418</v>
      </c>
      <c r="T107" s="97">
        <f t="shared" si="65"/>
        <v>7.0063359525312033E-6</v>
      </c>
      <c r="U107" s="34">
        <v>-8</v>
      </c>
      <c r="V107" s="33">
        <f t="shared" si="79"/>
        <v>-48.545090421778418</v>
      </c>
      <c r="W107" s="97">
        <f t="shared" si="76"/>
        <v>1.3979478092097108E-5</v>
      </c>
      <c r="X107" s="34">
        <v>-8</v>
      </c>
      <c r="Y107" s="33">
        <f t="shared" si="77"/>
        <v>-48.545090421778418</v>
      </c>
      <c r="Z107" s="97">
        <f t="shared" si="63"/>
        <v>1.3979478092097108E-5</v>
      </c>
    </row>
    <row r="108" spans="2:26" x14ac:dyDescent="0.2">
      <c r="B108" s="13">
        <v>1250</v>
      </c>
      <c r="C108" s="33">
        <f>'3º Alta Frec'!J99</f>
        <v>42.780300044789705</v>
      </c>
      <c r="D108" s="33">
        <f>'3º Alta Frec'!T99</f>
        <v>43.056216467656903</v>
      </c>
      <c r="E108" s="34">
        <f t="shared" si="60"/>
        <v>2</v>
      </c>
      <c r="F108" s="112">
        <f t="shared" si="61"/>
        <v>42.916067430773182</v>
      </c>
      <c r="G108" s="13">
        <v>56</v>
      </c>
      <c r="H108" s="18">
        <f t="shared" si="71"/>
        <v>46</v>
      </c>
      <c r="I108" s="18">
        <f t="shared" si="72"/>
        <v>45</v>
      </c>
      <c r="J108" s="34">
        <f t="shared" si="73"/>
        <v>44</v>
      </c>
      <c r="K108" s="79">
        <f t="shared" si="67"/>
        <v>0</v>
      </c>
      <c r="L108" s="33">
        <f t="shared" si="68"/>
        <v>0</v>
      </c>
      <c r="M108" s="98">
        <f t="shared" si="69"/>
        <v>0</v>
      </c>
      <c r="N108" s="66">
        <f t="shared" si="70"/>
        <v>0</v>
      </c>
      <c r="O108" s="99">
        <v>-9</v>
      </c>
      <c r="P108" s="33">
        <f t="shared" si="74"/>
        <v>-51.916067430773182</v>
      </c>
      <c r="Q108" s="97">
        <f t="shared" si="78"/>
        <v>6.4326993944660599E-6</v>
      </c>
      <c r="R108" s="34">
        <v>-10</v>
      </c>
      <c r="S108" s="33">
        <f t="shared" si="75"/>
        <v>-52.916067430773182</v>
      </c>
      <c r="T108" s="97">
        <f t="shared" si="65"/>
        <v>5.1096747545181759E-6</v>
      </c>
      <c r="U108" s="34">
        <v>-9</v>
      </c>
      <c r="V108" s="33">
        <f t="shared" si="79"/>
        <v>-51.916067430773182</v>
      </c>
      <c r="W108" s="97">
        <f t="shared" si="76"/>
        <v>6.4326993944660599E-6</v>
      </c>
      <c r="X108" s="34">
        <v>-9</v>
      </c>
      <c r="Y108" s="33">
        <f t="shared" si="77"/>
        <v>-51.916067430773182</v>
      </c>
      <c r="Z108" s="97">
        <f t="shared" si="63"/>
        <v>6.4326993944660599E-6</v>
      </c>
    </row>
    <row r="109" spans="2:26" x14ac:dyDescent="0.2">
      <c r="B109" s="13">
        <v>1600</v>
      </c>
      <c r="C109" s="33">
        <f>'3º Alta Frec'!J100</f>
        <v>43.716823745909281</v>
      </c>
      <c r="D109" s="33">
        <f>'3º Alta Frec'!T100</f>
        <v>43.89092211651996</v>
      </c>
      <c r="E109" s="34">
        <f t="shared" si="60"/>
        <v>2</v>
      </c>
      <c r="F109" s="112">
        <f t="shared" si="61"/>
        <v>43.803000590712287</v>
      </c>
      <c r="G109" s="13">
        <v>56</v>
      </c>
      <c r="H109" s="18">
        <f t="shared" si="71"/>
        <v>46</v>
      </c>
      <c r="I109" s="18">
        <f t="shared" si="72"/>
        <v>45</v>
      </c>
      <c r="J109" s="34">
        <f t="shared" si="73"/>
        <v>44</v>
      </c>
      <c r="K109" s="79">
        <f t="shared" si="67"/>
        <v>0</v>
      </c>
      <c r="L109" s="33">
        <f t="shared" si="68"/>
        <v>0</v>
      </c>
      <c r="M109" s="98">
        <f t="shared" si="69"/>
        <v>0</v>
      </c>
      <c r="N109" s="66">
        <f t="shared" si="70"/>
        <v>0</v>
      </c>
      <c r="O109" s="99">
        <v>-9</v>
      </c>
      <c r="P109" s="33">
        <f t="shared" si="74"/>
        <v>-52.803000590712287</v>
      </c>
      <c r="Q109" s="97">
        <f t="shared" si="78"/>
        <v>5.2444498994876021E-6</v>
      </c>
      <c r="R109" s="34">
        <v>-10</v>
      </c>
      <c r="S109" s="33">
        <f t="shared" si="75"/>
        <v>-53.803000590712287</v>
      </c>
      <c r="T109" s="97">
        <f t="shared" si="65"/>
        <v>4.1658146307599198E-6</v>
      </c>
      <c r="U109" s="34">
        <v>-10</v>
      </c>
      <c r="V109" s="33">
        <f t="shared" si="79"/>
        <v>-53.803000590712287</v>
      </c>
      <c r="W109" s="97">
        <f t="shared" si="76"/>
        <v>4.1658146307599198E-6</v>
      </c>
      <c r="X109" s="34">
        <v>-10</v>
      </c>
      <c r="Y109" s="33">
        <f t="shared" si="77"/>
        <v>-53.803000590712287</v>
      </c>
      <c r="Z109" s="97">
        <f t="shared" si="63"/>
        <v>4.1658146307599198E-6</v>
      </c>
    </row>
    <row r="110" spans="2:26" x14ac:dyDescent="0.2">
      <c r="B110" s="13">
        <v>2000</v>
      </c>
      <c r="C110" s="33">
        <f>'3º Alta Frec'!J101</f>
        <v>45.676946833628278</v>
      </c>
      <c r="D110" s="33">
        <f>'3º Alta Frec'!T101</f>
        <v>46.049068031768599</v>
      </c>
      <c r="E110" s="34">
        <f t="shared" si="60"/>
        <v>2</v>
      </c>
      <c r="F110" s="112">
        <f t="shared" si="61"/>
        <v>45.859023043867325</v>
      </c>
      <c r="G110" s="13">
        <v>56</v>
      </c>
      <c r="H110" s="18">
        <f t="shared" si="71"/>
        <v>46</v>
      </c>
      <c r="I110" s="18">
        <f t="shared" si="72"/>
        <v>45</v>
      </c>
      <c r="J110" s="34">
        <f t="shared" si="73"/>
        <v>44</v>
      </c>
      <c r="K110" s="79">
        <f t="shared" si="67"/>
        <v>0</v>
      </c>
      <c r="L110" s="33">
        <f t="shared" si="68"/>
        <v>0</v>
      </c>
      <c r="M110" s="98">
        <f t="shared" si="69"/>
        <v>0.85902304386732453</v>
      </c>
      <c r="N110" s="66">
        <f t="shared" si="70"/>
        <v>1.8590230438673245</v>
      </c>
      <c r="O110" s="99">
        <v>-9</v>
      </c>
      <c r="P110" s="33">
        <f t="shared" si="74"/>
        <v>-54.859023043867325</v>
      </c>
      <c r="Q110" s="97">
        <f t="shared" si="78"/>
        <v>3.2666130717337197E-6</v>
      </c>
      <c r="R110" s="34">
        <v>-10</v>
      </c>
      <c r="S110" s="33">
        <f t="shared" si="75"/>
        <v>-55.859023043867325</v>
      </c>
      <c r="T110" s="97">
        <f t="shared" si="65"/>
        <v>2.5947629947975064E-6</v>
      </c>
      <c r="U110" s="34">
        <v>-11</v>
      </c>
      <c r="V110" s="33">
        <f t="shared" si="79"/>
        <v>-56.859023043867325</v>
      </c>
      <c r="W110" s="97">
        <f t="shared" si="76"/>
        <v>2.0610935091853953E-6</v>
      </c>
      <c r="X110" s="34">
        <v>-11</v>
      </c>
      <c r="Y110" s="33">
        <f t="shared" si="77"/>
        <v>-56.859023043867325</v>
      </c>
      <c r="Z110" s="97">
        <f t="shared" si="63"/>
        <v>2.0610935091853953E-6</v>
      </c>
    </row>
    <row r="111" spans="2:26" x14ac:dyDescent="0.2">
      <c r="B111" s="13">
        <v>2500</v>
      </c>
      <c r="C111" s="33">
        <f>'3º Alta Frec'!J102</f>
        <v>44.260454384146463</v>
      </c>
      <c r="D111" s="33">
        <f>'3º Alta Frec'!T102</f>
        <v>46.618577621498922</v>
      </c>
      <c r="E111" s="34">
        <f t="shared" si="60"/>
        <v>2</v>
      </c>
      <c r="F111" s="112">
        <f t="shared" si="61"/>
        <v>45.281393218646855</v>
      </c>
      <c r="G111" s="13">
        <v>56</v>
      </c>
      <c r="H111" s="18">
        <f t="shared" si="71"/>
        <v>46</v>
      </c>
      <c r="I111" s="18">
        <f t="shared" si="72"/>
        <v>45</v>
      </c>
      <c r="J111" s="34">
        <f t="shared" si="73"/>
        <v>44</v>
      </c>
      <c r="K111" s="79">
        <f t="shared" si="67"/>
        <v>0</v>
      </c>
      <c r="L111" s="33">
        <f t="shared" si="68"/>
        <v>0</v>
      </c>
      <c r="M111" s="98">
        <f t="shared" si="69"/>
        <v>0.28139321864685485</v>
      </c>
      <c r="N111" s="66">
        <f t="shared" si="70"/>
        <v>1.2813932186468548</v>
      </c>
      <c r="O111" s="99">
        <v>-9</v>
      </c>
      <c r="P111" s="33">
        <f t="shared" si="74"/>
        <v>-54.281393218646855</v>
      </c>
      <c r="Q111" s="97">
        <f t="shared" si="78"/>
        <v>3.7313043818168162E-6</v>
      </c>
      <c r="R111" s="34">
        <v>-10</v>
      </c>
      <c r="S111" s="33">
        <f t="shared" si="75"/>
        <v>-55.281393218646855</v>
      </c>
      <c r="T111" s="97">
        <f t="shared" si="65"/>
        <v>2.9638804228275309E-6</v>
      </c>
      <c r="U111" s="34">
        <v>-13</v>
      </c>
      <c r="V111" s="33">
        <f t="shared" si="79"/>
        <v>-58.281393218646855</v>
      </c>
      <c r="W111" s="97">
        <f t="shared" si="76"/>
        <v>1.4854590299189593E-6</v>
      </c>
      <c r="X111" s="34">
        <v>-13</v>
      </c>
      <c r="Y111" s="33">
        <f t="shared" si="77"/>
        <v>-58.281393218646855</v>
      </c>
      <c r="Z111" s="97">
        <f t="shared" si="63"/>
        <v>1.4854590299189593E-6</v>
      </c>
    </row>
    <row r="112" spans="2:26" x14ac:dyDescent="0.2">
      <c r="B112" s="13">
        <v>3150</v>
      </c>
      <c r="C112" s="33">
        <f>'3º Alta Frec'!J103</f>
        <v>40.798807718896327</v>
      </c>
      <c r="D112" s="33">
        <f>'3º Alta Frec'!T103</f>
        <v>44.668496413054655</v>
      </c>
      <c r="E112" s="34">
        <f t="shared" si="60"/>
        <v>2</v>
      </c>
      <c r="F112" s="112">
        <f t="shared" si="61"/>
        <v>42.316197380503439</v>
      </c>
      <c r="G112" s="13">
        <v>56</v>
      </c>
      <c r="H112" s="18">
        <f t="shared" si="71"/>
        <v>46</v>
      </c>
      <c r="I112" s="18">
        <f t="shared" si="72"/>
        <v>45</v>
      </c>
      <c r="J112" s="34">
        <f t="shared" si="73"/>
        <v>44</v>
      </c>
      <c r="K112" s="79">
        <f t="shared" si="67"/>
        <v>0</v>
      </c>
      <c r="L112" s="33">
        <f t="shared" si="68"/>
        <v>0</v>
      </c>
      <c r="M112" s="98">
        <f t="shared" si="69"/>
        <v>0</v>
      </c>
      <c r="N112" s="66">
        <f t="shared" si="70"/>
        <v>0</v>
      </c>
      <c r="O112" s="99">
        <v>-9</v>
      </c>
      <c r="P112" s="33">
        <f t="shared" si="74"/>
        <v>-51.316197380503439</v>
      </c>
      <c r="Q112" s="97">
        <f t="shared" si="78"/>
        <v>7.3855061131066062E-6</v>
      </c>
      <c r="R112" s="34">
        <v>-10</v>
      </c>
      <c r="S112" s="33">
        <f t="shared" si="75"/>
        <v>-52.316197380503439</v>
      </c>
      <c r="T112" s="97">
        <f t="shared" si="65"/>
        <v>5.8665160333693662E-6</v>
      </c>
      <c r="U112" s="34">
        <v>-15</v>
      </c>
      <c r="V112" s="33">
        <f t="shared" si="79"/>
        <v>-57.316197380503439</v>
      </c>
      <c r="W112" s="97">
        <f t="shared" si="76"/>
        <v>1.8551552595343552E-6</v>
      </c>
      <c r="X112" s="34">
        <v>-15</v>
      </c>
      <c r="Y112" s="33">
        <f t="shared" si="77"/>
        <v>-57.316197380503439</v>
      </c>
      <c r="Z112" s="97">
        <f t="shared" si="63"/>
        <v>1.8551552595343552E-6</v>
      </c>
    </row>
    <row r="113" spans="2:26" x14ac:dyDescent="0.2">
      <c r="B113" s="13">
        <v>4000</v>
      </c>
      <c r="C113" s="33">
        <f>'3º Alta Frec'!J104</f>
        <v>44.764867882873702</v>
      </c>
      <c r="D113" s="33">
        <f>'3º Alta Frec'!T104</f>
        <v>46.109912621432414</v>
      </c>
      <c r="E113" s="34">
        <f t="shared" si="60"/>
        <v>2</v>
      </c>
      <c r="F113" s="112">
        <f t="shared" si="61"/>
        <v>45.385525652005782</v>
      </c>
      <c r="G113" s="13"/>
      <c r="H113" s="18"/>
      <c r="I113" s="18"/>
      <c r="J113" s="18"/>
      <c r="K113" s="13"/>
      <c r="L113" s="18"/>
      <c r="M113" s="95"/>
      <c r="N113" s="96"/>
      <c r="O113" s="99"/>
      <c r="P113" s="18"/>
      <c r="Q113" s="97"/>
      <c r="R113" s="34">
        <v>-10</v>
      </c>
      <c r="S113" s="33">
        <f t="shared" si="75"/>
        <v>-55.385525652005782</v>
      </c>
      <c r="T113" s="97">
        <f t="shared" si="65"/>
        <v>2.8936595593321444E-6</v>
      </c>
      <c r="U113" s="18"/>
      <c r="V113" s="18"/>
      <c r="W113" s="97"/>
      <c r="X113" s="34">
        <v>-16</v>
      </c>
      <c r="Y113" s="33">
        <f t="shared" si="77"/>
        <v>-61.385525652005782</v>
      </c>
      <c r="Z113" s="97">
        <f t="shared" si="63"/>
        <v>7.268544184494394E-7</v>
      </c>
    </row>
    <row r="114" spans="2:26" x14ac:dyDescent="0.2">
      <c r="B114" s="15">
        <v>5000</v>
      </c>
      <c r="C114" s="33">
        <f>'3º Alta Frec'!J105</f>
        <v>47.682798134204852</v>
      </c>
      <c r="D114" s="33">
        <f>'3º Alta Frec'!T105</f>
        <v>48.899204825733754</v>
      </c>
      <c r="E114" s="24">
        <f t="shared" si="60"/>
        <v>2</v>
      </c>
      <c r="F114" s="113">
        <f t="shared" si="61"/>
        <v>48.248552349835869</v>
      </c>
      <c r="G114" s="15"/>
      <c r="H114" s="16"/>
      <c r="I114" s="16"/>
      <c r="J114" s="16"/>
      <c r="K114" s="13"/>
      <c r="L114" s="18"/>
      <c r="M114" s="95"/>
      <c r="N114" s="96"/>
      <c r="O114" s="13"/>
      <c r="P114" s="18"/>
      <c r="Q114" s="97"/>
      <c r="R114" s="34">
        <v>-10</v>
      </c>
      <c r="S114" s="33">
        <f t="shared" si="75"/>
        <v>-58.248552349835869</v>
      </c>
      <c r="T114" s="97">
        <f t="shared" si="65"/>
        <v>1.4967344850983192E-6</v>
      </c>
      <c r="U114" s="18"/>
      <c r="V114" s="18"/>
      <c r="W114" s="97"/>
      <c r="X114" s="34">
        <v>-18</v>
      </c>
      <c r="Y114" s="33">
        <f t="shared" si="77"/>
        <v>-66.248552349835876</v>
      </c>
      <c r="Z114" s="97">
        <f t="shared" si="63"/>
        <v>2.3721642963541089E-7</v>
      </c>
    </row>
    <row r="115" spans="2:26" x14ac:dyDescent="0.2">
      <c r="K115" s="80">
        <f>SUM(K97:K112)</f>
        <v>1.1028805223133631</v>
      </c>
      <c r="L115" s="23">
        <f t="shared" ref="L115:N115" si="80">SUM(L97:L112)</f>
        <v>20.507625385646712</v>
      </c>
      <c r="M115" s="102">
        <f t="shared" si="80"/>
        <v>25.661804422568956</v>
      </c>
      <c r="N115" s="59">
        <f t="shared" si="80"/>
        <v>32.661804422568956</v>
      </c>
      <c r="O115" s="79" t="s">
        <v>129</v>
      </c>
      <c r="P115" s="33">
        <f>52-11</f>
        <v>41</v>
      </c>
      <c r="Q115" s="103">
        <f>-10*LOG10(SUM(Q94:Q114))</f>
        <v>39.353958596664008</v>
      </c>
      <c r="R115" s="34"/>
      <c r="S115" s="33"/>
      <c r="T115" s="103">
        <f>-10*LOG10(SUM(T94:T114))</f>
        <v>40.10914277220084</v>
      </c>
      <c r="U115" s="33"/>
      <c r="V115" s="33"/>
      <c r="W115" s="103">
        <f>-10*LOG10(SUM(W94:W114))</f>
        <v>37.534964833783157</v>
      </c>
      <c r="X115" s="34"/>
      <c r="Y115" s="33"/>
      <c r="Z115" s="103">
        <f>-10*LOG10(SUM(Z94:Z114))</f>
        <v>36.98619380088094</v>
      </c>
    </row>
    <row r="116" spans="2:26" x14ac:dyDescent="0.2">
      <c r="O116" s="15"/>
      <c r="P116" s="16"/>
      <c r="Q116" s="114">
        <f>ROUND(Q115,0)-P115</f>
        <v>-2</v>
      </c>
      <c r="R116" s="16"/>
      <c r="S116" s="16"/>
      <c r="T116" s="114">
        <f>ROUND(T115,0)-P115</f>
        <v>-1</v>
      </c>
      <c r="U116" s="16"/>
      <c r="V116" s="16"/>
      <c r="W116" s="114">
        <f>ROUND(W115,0)-P115</f>
        <v>-3</v>
      </c>
      <c r="X116" s="16"/>
      <c r="Y116" s="16"/>
      <c r="Z116" s="114">
        <f>ROUND(Z115,0)-P115</f>
        <v>-4</v>
      </c>
    </row>
    <row r="117" spans="2:26" x14ac:dyDescent="0.2">
      <c r="E117" s="2" t="s">
        <v>92</v>
      </c>
    </row>
    <row r="121" spans="2:26" x14ac:dyDescent="0.2">
      <c r="F121" s="172" t="s">
        <v>46</v>
      </c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4"/>
    </row>
    <row r="122" spans="2:26" x14ac:dyDescent="0.2">
      <c r="B122" s="43"/>
      <c r="C122" s="44"/>
      <c r="D122" s="44"/>
      <c r="E122" s="44"/>
      <c r="F122" s="184"/>
      <c r="G122" s="162" t="s">
        <v>96</v>
      </c>
      <c r="H122" s="163"/>
      <c r="I122" s="163"/>
      <c r="J122" s="163"/>
      <c r="K122" s="186" t="s">
        <v>95</v>
      </c>
      <c r="L122" s="187"/>
      <c r="M122" s="187"/>
      <c r="N122" s="188"/>
      <c r="O122" s="189" t="s">
        <v>99</v>
      </c>
      <c r="P122" s="190"/>
      <c r="Q122" s="191"/>
      <c r="R122" s="192" t="s">
        <v>97</v>
      </c>
      <c r="S122" s="192"/>
      <c r="T122" s="193"/>
      <c r="U122" s="190" t="s">
        <v>100</v>
      </c>
      <c r="V122" s="190"/>
      <c r="W122" s="191"/>
      <c r="X122" s="192" t="s">
        <v>98</v>
      </c>
      <c r="Y122" s="192"/>
      <c r="Z122" s="193"/>
    </row>
    <row r="123" spans="2:26" ht="33" customHeight="1" x14ac:dyDescent="0.2">
      <c r="B123" s="28"/>
      <c r="C123" s="29"/>
      <c r="D123" s="29"/>
      <c r="E123" s="29" t="s">
        <v>50</v>
      </c>
      <c r="F123" s="185"/>
      <c r="G123" s="15" t="s">
        <v>94</v>
      </c>
      <c r="H123" s="16" t="s">
        <v>90</v>
      </c>
      <c r="I123" s="16" t="s">
        <v>105</v>
      </c>
      <c r="J123" s="108" t="s">
        <v>119</v>
      </c>
      <c r="K123" s="15" t="s">
        <v>94</v>
      </c>
      <c r="L123" s="16" t="s">
        <v>90</v>
      </c>
      <c r="M123" s="16" t="s">
        <v>105</v>
      </c>
      <c r="N123" s="108" t="s">
        <v>119</v>
      </c>
      <c r="O123" s="142" t="s">
        <v>126</v>
      </c>
      <c r="P123" s="143"/>
      <c r="Q123" s="145"/>
      <c r="R123" s="144" t="s">
        <v>126</v>
      </c>
      <c r="S123" s="144"/>
      <c r="T123" s="145"/>
      <c r="U123" s="144" t="s">
        <v>126</v>
      </c>
      <c r="V123" s="143"/>
      <c r="W123" s="145"/>
      <c r="X123" s="144" t="s">
        <v>126</v>
      </c>
      <c r="Y123" s="144"/>
      <c r="Z123" s="145"/>
    </row>
    <row r="124" spans="2:26" x14ac:dyDescent="0.2">
      <c r="B124" s="13">
        <v>50</v>
      </c>
      <c r="C124" s="33">
        <f>'3º Alta Frec'!J112</f>
        <v>39.665354058761068</v>
      </c>
      <c r="D124" s="33">
        <f>'3º Alta Frec'!T112</f>
        <v>40.684435257335196</v>
      </c>
      <c r="E124" s="34">
        <f t="shared" ref="E124:E144" si="81">COUNT(C124:D124)</f>
        <v>2</v>
      </c>
      <c r="F124" s="112">
        <f>-10*LOG10((10^(-C124/10)+10^(-D124/10))/E124)</f>
        <v>40.145071789598468</v>
      </c>
      <c r="G124" s="77"/>
      <c r="H124" s="78"/>
      <c r="I124" s="78"/>
      <c r="J124" s="78"/>
      <c r="K124" s="77"/>
      <c r="L124" s="78"/>
      <c r="M124" s="109"/>
      <c r="N124" s="110"/>
      <c r="O124" s="13"/>
      <c r="P124" s="18"/>
      <c r="Q124" s="97"/>
      <c r="R124" s="34">
        <v>-41</v>
      </c>
      <c r="S124" s="33">
        <f>R124-F124</f>
        <v>-81.145071789598461</v>
      </c>
      <c r="T124" s="97">
        <f>10^(S124/10)</f>
        <v>7.6823275655937342E-9</v>
      </c>
      <c r="U124" s="18"/>
      <c r="V124" s="18"/>
      <c r="W124" s="97"/>
      <c r="X124" s="34">
        <v>-25</v>
      </c>
      <c r="Y124" s="33">
        <f t="shared" ref="Y124" si="82">X124-F124</f>
        <v>-65.145071789598461</v>
      </c>
      <c r="Z124" s="97">
        <f t="shared" ref="Z124:Z144" si="83">10^(Y124/10)</f>
        <v>3.0583896904036547E-7</v>
      </c>
    </row>
    <row r="125" spans="2:26" x14ac:dyDescent="0.2">
      <c r="B125" s="13">
        <v>63</v>
      </c>
      <c r="C125" s="33">
        <f>'3º Alta Frec'!J113</f>
        <v>53.986153313581475</v>
      </c>
      <c r="D125" s="33">
        <f>'3º Alta Frec'!T113</f>
        <v>45.304208440053273</v>
      </c>
      <c r="E125" s="34">
        <f t="shared" si="81"/>
        <v>2</v>
      </c>
      <c r="F125" s="112">
        <f t="shared" ref="F125:F144" si="84">-10*LOG10((10^(-C125/10)+10^(-D125/10))/E125)</f>
        <v>47.762796633140255</v>
      </c>
      <c r="G125" s="13"/>
      <c r="H125" s="18"/>
      <c r="I125" s="18"/>
      <c r="J125" s="18"/>
      <c r="K125" s="13"/>
      <c r="L125" s="18"/>
      <c r="M125" s="95"/>
      <c r="N125" s="96"/>
      <c r="O125" s="13"/>
      <c r="P125" s="18"/>
      <c r="Q125" s="97"/>
      <c r="R125" s="34">
        <v>-37</v>
      </c>
      <c r="S125" s="33">
        <f t="shared" ref="S125:S126" si="85">R125-F125</f>
        <v>-84.762796633140255</v>
      </c>
      <c r="T125" s="97">
        <f t="shared" ref="T125:T144" si="86">10^(S125/10)</f>
        <v>3.339799048807558E-9</v>
      </c>
      <c r="U125" s="18"/>
      <c r="V125" s="18"/>
      <c r="W125" s="97"/>
      <c r="X125" s="34">
        <v>-23</v>
      </c>
      <c r="Y125" s="33">
        <f>X125-F125</f>
        <v>-70.762796633140255</v>
      </c>
      <c r="Z125" s="97">
        <f t="shared" si="83"/>
        <v>8.3891959146683135E-8</v>
      </c>
    </row>
    <row r="126" spans="2:26" x14ac:dyDescent="0.2">
      <c r="B126" s="13">
        <v>80</v>
      </c>
      <c r="C126" s="33">
        <f>'3º Alta Frec'!J114</f>
        <v>45.719639455490189</v>
      </c>
      <c r="D126" s="33">
        <f>'3º Alta Frec'!T114</f>
        <v>43.087520521848148</v>
      </c>
      <c r="E126" s="34">
        <f t="shared" si="81"/>
        <v>2</v>
      </c>
      <c r="F126" s="112">
        <f t="shared" si="84"/>
        <v>44.207153850191602</v>
      </c>
      <c r="G126" s="13"/>
      <c r="H126" s="18"/>
      <c r="I126" s="18"/>
      <c r="J126" s="18"/>
      <c r="K126" s="13"/>
      <c r="L126" s="18"/>
      <c r="M126" s="95"/>
      <c r="N126" s="96"/>
      <c r="O126" s="13"/>
      <c r="P126" s="18"/>
      <c r="Q126" s="97"/>
      <c r="R126" s="34">
        <v>-34</v>
      </c>
      <c r="S126" s="33">
        <f t="shared" si="85"/>
        <v>-78.207153850191602</v>
      </c>
      <c r="T126" s="97">
        <f t="shared" si="86"/>
        <v>1.5110701098619109E-8</v>
      </c>
      <c r="U126" s="18"/>
      <c r="V126" s="18"/>
      <c r="W126" s="97"/>
      <c r="X126" s="34">
        <v>-21</v>
      </c>
      <c r="Y126" s="33">
        <f t="shared" ref="Y126" si="87">X126-F126</f>
        <v>-65.207153850191602</v>
      </c>
      <c r="Z126" s="97">
        <f t="shared" si="83"/>
        <v>3.0149812454833505E-7</v>
      </c>
    </row>
    <row r="127" spans="2:26" x14ac:dyDescent="0.2">
      <c r="B127" s="13">
        <v>100</v>
      </c>
      <c r="C127" s="33">
        <f>'3º Alta Frec'!J115</f>
        <v>48.74062485004103</v>
      </c>
      <c r="D127" s="33">
        <f>'3º Alta Frec'!T115</f>
        <v>35.935217926158529</v>
      </c>
      <c r="E127" s="34">
        <f t="shared" si="81"/>
        <v>2</v>
      </c>
      <c r="F127" s="112">
        <f t="shared" si="84"/>
        <v>38.723645737041679</v>
      </c>
      <c r="G127" s="13">
        <v>33</v>
      </c>
      <c r="H127" s="18">
        <f>$G127+8</f>
        <v>41</v>
      </c>
      <c r="I127" s="18">
        <f>$G127+9</f>
        <v>42</v>
      </c>
      <c r="J127" s="18">
        <f>$G127+10</f>
        <v>43</v>
      </c>
      <c r="K127" s="79">
        <f t="shared" ref="K127:K142" si="88">IF((F127-G127)&gt;0,F127-G127,0)</f>
        <v>5.7236457370416787</v>
      </c>
      <c r="L127" s="33">
        <f t="shared" ref="L127:L142" si="89">IF((F127-H127)&gt;0,F127-H127,0)</f>
        <v>0</v>
      </c>
      <c r="M127" s="98">
        <f t="shared" ref="M127:M142" si="90">IF((F127-I127)&gt;0,F127-I127,0)</f>
        <v>0</v>
      </c>
      <c r="N127" s="66">
        <f t="shared" ref="N127:N142" si="91">IF((F127-J127)&gt;0,F127-J127,0)</f>
        <v>0</v>
      </c>
      <c r="O127" s="99">
        <v>-29</v>
      </c>
      <c r="P127" s="33">
        <f>O127-F127</f>
        <v>-67.723645737041679</v>
      </c>
      <c r="Q127" s="97">
        <f>10^(P127/10)</f>
        <v>1.6890224662147962E-7</v>
      </c>
      <c r="R127" s="34">
        <v>-30</v>
      </c>
      <c r="S127" s="33">
        <f>R127-F127</f>
        <v>-68.723645737041679</v>
      </c>
      <c r="T127" s="97">
        <f>10^(S127/10)</f>
        <v>1.3416382339980527E-7</v>
      </c>
      <c r="U127" s="34">
        <v>-20</v>
      </c>
      <c r="V127" s="33">
        <f>U127-F127</f>
        <v>-58.723645737041679</v>
      </c>
      <c r="W127" s="97">
        <f>10^(V127/10)</f>
        <v>1.3416382339980541E-6</v>
      </c>
      <c r="X127" s="34">
        <v>-20</v>
      </c>
      <c r="Y127" s="33">
        <f>X127-F127</f>
        <v>-58.723645737041679</v>
      </c>
      <c r="Z127" s="97">
        <f>10^(Y127/10)</f>
        <v>1.3416382339980541E-6</v>
      </c>
    </row>
    <row r="128" spans="2:26" x14ac:dyDescent="0.2">
      <c r="B128" s="13">
        <v>125</v>
      </c>
      <c r="C128" s="33">
        <f>'3º Alta Frec'!J116</f>
        <v>45.846830555711598</v>
      </c>
      <c r="D128" s="33">
        <f>'3º Alta Frec'!T116</f>
        <v>40.067832007046519</v>
      </c>
      <c r="E128" s="34">
        <f t="shared" si="81"/>
        <v>2</v>
      </c>
      <c r="F128" s="112">
        <f t="shared" si="84"/>
        <v>42.059624350458591</v>
      </c>
      <c r="G128" s="13">
        <v>36</v>
      </c>
      <c r="H128" s="18">
        <f t="shared" ref="H128:H142" si="92">$G128+8</f>
        <v>44</v>
      </c>
      <c r="I128" s="18">
        <f t="shared" ref="I128:I142" si="93">$G128+9</f>
        <v>45</v>
      </c>
      <c r="J128" s="18">
        <f t="shared" ref="J128:J142" si="94">$G128+10</f>
        <v>46</v>
      </c>
      <c r="K128" s="79">
        <f t="shared" si="88"/>
        <v>6.0596243504585914</v>
      </c>
      <c r="L128" s="33">
        <f t="shared" si="89"/>
        <v>0</v>
      </c>
      <c r="M128" s="98">
        <f t="shared" si="90"/>
        <v>0</v>
      </c>
      <c r="N128" s="66">
        <f t="shared" si="91"/>
        <v>0</v>
      </c>
      <c r="O128" s="99">
        <v>-26</v>
      </c>
      <c r="P128" s="33">
        <f t="shared" ref="P128:P142" si="95">O128-F128</f>
        <v>-68.059624350458591</v>
      </c>
      <c r="Q128" s="97">
        <f>10^(P128/10)</f>
        <v>1.5632828552940035E-7</v>
      </c>
      <c r="R128" s="34">
        <v>-27</v>
      </c>
      <c r="S128" s="33">
        <f t="shared" ref="S128:S144" si="96">R128-F128</f>
        <v>-69.059624350458591</v>
      </c>
      <c r="T128" s="97">
        <f t="shared" si="86"/>
        <v>1.2417597108204169E-7</v>
      </c>
      <c r="U128" s="34">
        <v>-20</v>
      </c>
      <c r="V128" s="33">
        <f>U128-F128</f>
        <v>-62.059624350458591</v>
      </c>
      <c r="W128" s="97">
        <f t="shared" ref="W128:W142" si="97">10^(V128/10)</f>
        <v>6.2235411429588762E-7</v>
      </c>
      <c r="X128" s="34">
        <v>-20</v>
      </c>
      <c r="Y128" s="33">
        <f t="shared" ref="Y128:Y144" si="98">X128-F128</f>
        <v>-62.059624350458591</v>
      </c>
      <c r="Z128" s="97">
        <f t="shared" si="83"/>
        <v>6.2235411429588762E-7</v>
      </c>
    </row>
    <row r="129" spans="2:26" x14ac:dyDescent="0.2">
      <c r="B129" s="13">
        <v>160</v>
      </c>
      <c r="C129" s="33">
        <f>'3º Alta Frec'!J117</f>
        <v>49.678161446856528</v>
      </c>
      <c r="D129" s="33">
        <f>'3º Alta Frec'!T117</f>
        <v>49.540450207589032</v>
      </c>
      <c r="E129" s="34">
        <f t="shared" si="81"/>
        <v>2</v>
      </c>
      <c r="F129" s="112">
        <f t="shared" si="84"/>
        <v>49.608760011199408</v>
      </c>
      <c r="G129" s="13">
        <v>39</v>
      </c>
      <c r="H129" s="18">
        <f t="shared" si="92"/>
        <v>47</v>
      </c>
      <c r="I129" s="18">
        <f t="shared" si="93"/>
        <v>48</v>
      </c>
      <c r="J129" s="18">
        <f t="shared" si="94"/>
        <v>49</v>
      </c>
      <c r="K129" s="79">
        <f t="shared" si="88"/>
        <v>10.608760011199408</v>
      </c>
      <c r="L129" s="33">
        <f t="shared" si="89"/>
        <v>2.6087600111994078</v>
      </c>
      <c r="M129" s="98">
        <f t="shared" si="90"/>
        <v>1.6087600111994078</v>
      </c>
      <c r="N129" s="66">
        <f t="shared" si="91"/>
        <v>0.60876001119940781</v>
      </c>
      <c r="O129" s="99">
        <v>-23</v>
      </c>
      <c r="P129" s="33">
        <f t="shared" si="95"/>
        <v>-72.608760011199408</v>
      </c>
      <c r="Q129" s="97">
        <f t="shared" ref="Q129:Q142" si="99">10^(P129/10)</f>
        <v>5.4843353019843196E-8</v>
      </c>
      <c r="R129" s="34">
        <v>-24</v>
      </c>
      <c r="S129" s="33">
        <f t="shared" si="96"/>
        <v>-73.608760011199408</v>
      </c>
      <c r="T129" s="97">
        <f t="shared" si="86"/>
        <v>4.3563623790612679E-8</v>
      </c>
      <c r="U129" s="34">
        <v>-18</v>
      </c>
      <c r="V129" s="33">
        <f t="shared" ref="V129:V142" si="100">U129-F129</f>
        <v>-67.608760011199408</v>
      </c>
      <c r="W129" s="97">
        <f t="shared" si="97"/>
        <v>1.7342991006337795E-7</v>
      </c>
      <c r="X129" s="34">
        <v>-18</v>
      </c>
      <c r="Y129" s="33">
        <f t="shared" si="98"/>
        <v>-67.608760011199408</v>
      </c>
      <c r="Z129" s="97">
        <f t="shared" si="83"/>
        <v>1.7342991006337795E-7</v>
      </c>
    </row>
    <row r="130" spans="2:26" x14ac:dyDescent="0.2">
      <c r="B130" s="13">
        <v>200</v>
      </c>
      <c r="C130" s="33">
        <f>'3º Alta Frec'!J118</f>
        <v>55.724542924750153</v>
      </c>
      <c r="D130" s="33">
        <f>'3º Alta Frec'!T118</f>
        <v>51.108565125155117</v>
      </c>
      <c r="E130" s="34">
        <f t="shared" si="81"/>
        <v>2</v>
      </c>
      <c r="F130" s="112">
        <f t="shared" si="84"/>
        <v>52.830145743598493</v>
      </c>
      <c r="G130" s="13">
        <v>42</v>
      </c>
      <c r="H130" s="18">
        <f t="shared" si="92"/>
        <v>50</v>
      </c>
      <c r="I130" s="18">
        <f t="shared" si="93"/>
        <v>51</v>
      </c>
      <c r="J130" s="18">
        <f t="shared" si="94"/>
        <v>52</v>
      </c>
      <c r="K130" s="79">
        <f t="shared" si="88"/>
        <v>10.830145743598493</v>
      </c>
      <c r="L130" s="33">
        <f t="shared" si="89"/>
        <v>2.8301457435984929</v>
      </c>
      <c r="M130" s="98">
        <f t="shared" si="90"/>
        <v>1.8301457435984929</v>
      </c>
      <c r="N130" s="66">
        <f t="shared" si="91"/>
        <v>0.83014574359849291</v>
      </c>
      <c r="O130" s="99">
        <v>-21</v>
      </c>
      <c r="P130" s="33">
        <f t="shared" si="95"/>
        <v>-73.830145743598493</v>
      </c>
      <c r="Q130" s="97">
        <f t="shared" si="99"/>
        <v>4.139857817604168E-8</v>
      </c>
      <c r="R130" s="34">
        <v>-22</v>
      </c>
      <c r="S130" s="33">
        <f t="shared" si="96"/>
        <v>-74.830145743598493</v>
      </c>
      <c r="T130" s="97">
        <f t="shared" si="86"/>
        <v>3.288405952267027E-8</v>
      </c>
      <c r="U130" s="34">
        <v>-16</v>
      </c>
      <c r="V130" s="33">
        <f t="shared" si="100"/>
        <v>-68.830145743598493</v>
      </c>
      <c r="W130" s="97">
        <f t="shared" si="97"/>
        <v>1.3091379892883067E-7</v>
      </c>
      <c r="X130" s="34">
        <v>-16</v>
      </c>
      <c r="Y130" s="33">
        <f t="shared" si="98"/>
        <v>-68.830145743598493</v>
      </c>
      <c r="Z130" s="97">
        <f t="shared" si="83"/>
        <v>1.3091379892883067E-7</v>
      </c>
    </row>
    <row r="131" spans="2:26" x14ac:dyDescent="0.2">
      <c r="B131" s="13">
        <v>250</v>
      </c>
      <c r="C131" s="33">
        <f>'3º Alta Frec'!J119</f>
        <v>57.671915400263572</v>
      </c>
      <c r="D131" s="33">
        <f>'3º Alta Frec'!T119</f>
        <v>55.808360734522914</v>
      </c>
      <c r="E131" s="34">
        <f t="shared" si="81"/>
        <v>2</v>
      </c>
      <c r="F131" s="112">
        <f t="shared" si="84"/>
        <v>56.64093938593949</v>
      </c>
      <c r="G131" s="100">
        <v>45</v>
      </c>
      <c r="H131" s="18">
        <f t="shared" si="92"/>
        <v>53</v>
      </c>
      <c r="I131" s="18">
        <f t="shared" si="93"/>
        <v>54</v>
      </c>
      <c r="J131" s="18">
        <f t="shared" si="94"/>
        <v>55</v>
      </c>
      <c r="K131" s="79">
        <f t="shared" si="88"/>
        <v>11.64093938593949</v>
      </c>
      <c r="L131" s="33">
        <f t="shared" si="89"/>
        <v>3.6409393859394896</v>
      </c>
      <c r="M131" s="98">
        <f t="shared" si="90"/>
        <v>2.6409393859394896</v>
      </c>
      <c r="N131" s="66">
        <f t="shared" si="91"/>
        <v>1.6409393859394896</v>
      </c>
      <c r="O131" s="99">
        <v>-19</v>
      </c>
      <c r="P131" s="33">
        <f t="shared" si="95"/>
        <v>-75.64093938593949</v>
      </c>
      <c r="Q131" s="97">
        <f t="shared" si="99"/>
        <v>2.7283875643655471E-8</v>
      </c>
      <c r="R131" s="34">
        <v>-20</v>
      </c>
      <c r="S131" s="33">
        <f t="shared" si="96"/>
        <v>-76.64093938593949</v>
      </c>
      <c r="T131" s="97">
        <f t="shared" si="86"/>
        <v>2.1672352776461689E-8</v>
      </c>
      <c r="U131" s="34">
        <v>-15</v>
      </c>
      <c r="V131" s="33">
        <f t="shared" si="100"/>
        <v>-71.64093938593949</v>
      </c>
      <c r="W131" s="97">
        <f t="shared" si="97"/>
        <v>6.8533997028292872E-8</v>
      </c>
      <c r="X131" s="34">
        <v>-15</v>
      </c>
      <c r="Y131" s="33">
        <f t="shared" si="98"/>
        <v>-71.64093938593949</v>
      </c>
      <c r="Z131" s="97">
        <f t="shared" si="83"/>
        <v>6.8533997028292872E-8</v>
      </c>
    </row>
    <row r="132" spans="2:26" x14ac:dyDescent="0.2">
      <c r="B132" s="13">
        <v>315</v>
      </c>
      <c r="C132" s="33">
        <f>'3º Alta Frec'!J120</f>
        <v>57.013617070965857</v>
      </c>
      <c r="D132" s="33">
        <f>'3º Alta Frec'!T120</f>
        <v>53.881882470018866</v>
      </c>
      <c r="E132" s="34">
        <f t="shared" si="81"/>
        <v>2</v>
      </c>
      <c r="F132" s="112">
        <f t="shared" si="84"/>
        <v>55.171371955799479</v>
      </c>
      <c r="G132" s="100">
        <v>48</v>
      </c>
      <c r="H132" s="18">
        <f t="shared" si="92"/>
        <v>56</v>
      </c>
      <c r="I132" s="18">
        <f t="shared" si="93"/>
        <v>57</v>
      </c>
      <c r="J132" s="18">
        <f t="shared" si="94"/>
        <v>58</v>
      </c>
      <c r="K132" s="79">
        <f t="shared" si="88"/>
        <v>7.1713719557994793</v>
      </c>
      <c r="L132" s="33">
        <f t="shared" si="89"/>
        <v>0</v>
      </c>
      <c r="M132" s="98">
        <f t="shared" si="90"/>
        <v>0</v>
      </c>
      <c r="N132" s="66">
        <f t="shared" si="91"/>
        <v>0</v>
      </c>
      <c r="O132" s="99">
        <v>-17</v>
      </c>
      <c r="P132" s="33">
        <f t="shared" si="95"/>
        <v>-72.171371955799486</v>
      </c>
      <c r="Q132" s="97">
        <f t="shared" si="99"/>
        <v>6.0654468912499924E-8</v>
      </c>
      <c r="R132" s="34">
        <v>-18</v>
      </c>
      <c r="S132" s="33">
        <f t="shared" si="96"/>
        <v>-73.171371955799486</v>
      </c>
      <c r="T132" s="97">
        <f t="shared" si="86"/>
        <v>4.8179557219404919E-8</v>
      </c>
      <c r="U132" s="34">
        <v>-14</v>
      </c>
      <c r="V132" s="33">
        <f t="shared" si="100"/>
        <v>-69.171371955799486</v>
      </c>
      <c r="W132" s="97">
        <f t="shared" si="97"/>
        <v>1.2102157605556262E-7</v>
      </c>
      <c r="X132" s="34">
        <v>-14</v>
      </c>
      <c r="Y132" s="33">
        <f t="shared" si="98"/>
        <v>-69.171371955799486</v>
      </c>
      <c r="Z132" s="97">
        <f t="shared" si="83"/>
        <v>1.2102157605556262E-7</v>
      </c>
    </row>
    <row r="133" spans="2:26" x14ac:dyDescent="0.2">
      <c r="B133" s="13">
        <v>400</v>
      </c>
      <c r="C133" s="33">
        <f>'3º Alta Frec'!J121</f>
        <v>58.736621226480672</v>
      </c>
      <c r="D133" s="33">
        <f>'3º Alta Frec'!T121</f>
        <v>57.150317178261609</v>
      </c>
      <c r="E133" s="34">
        <f t="shared" si="81"/>
        <v>2</v>
      </c>
      <c r="F133" s="112">
        <f t="shared" si="84"/>
        <v>57.871441595578645</v>
      </c>
      <c r="G133" s="100">
        <v>51</v>
      </c>
      <c r="H133" s="18">
        <f t="shared" si="92"/>
        <v>59</v>
      </c>
      <c r="I133" s="18">
        <f t="shared" si="93"/>
        <v>60</v>
      </c>
      <c r="J133" s="18">
        <f t="shared" si="94"/>
        <v>61</v>
      </c>
      <c r="K133" s="79">
        <f t="shared" si="88"/>
        <v>6.871441595578645</v>
      </c>
      <c r="L133" s="33">
        <f t="shared" si="89"/>
        <v>0</v>
      </c>
      <c r="M133" s="98">
        <f t="shared" si="90"/>
        <v>0</v>
      </c>
      <c r="N133" s="66">
        <f t="shared" si="91"/>
        <v>0</v>
      </c>
      <c r="O133" s="99">
        <v>-15</v>
      </c>
      <c r="P133" s="33">
        <f t="shared" si="95"/>
        <v>-72.871441595578645</v>
      </c>
      <c r="Q133" s="97">
        <f t="shared" si="99"/>
        <v>5.1624497865098733E-8</v>
      </c>
      <c r="R133" s="34">
        <v>-16</v>
      </c>
      <c r="S133" s="33">
        <f t="shared" si="96"/>
        <v>-73.871441595578645</v>
      </c>
      <c r="T133" s="97">
        <f t="shared" si="86"/>
        <v>4.1006796257711209E-8</v>
      </c>
      <c r="U133" s="34">
        <v>-13</v>
      </c>
      <c r="V133" s="33">
        <f t="shared" si="100"/>
        <v>-70.871441595578645</v>
      </c>
      <c r="W133" s="97">
        <f t="shared" si="97"/>
        <v>8.1819315230618104E-8</v>
      </c>
      <c r="X133" s="34">
        <v>-13</v>
      </c>
      <c r="Y133" s="33">
        <f t="shared" si="98"/>
        <v>-70.871441595578645</v>
      </c>
      <c r="Z133" s="97">
        <f t="shared" si="83"/>
        <v>8.1819315230618104E-8</v>
      </c>
    </row>
    <row r="134" spans="2:26" x14ac:dyDescent="0.2">
      <c r="B134" s="13">
        <v>500</v>
      </c>
      <c r="C134" s="33">
        <f>'3º Alta Frec'!J122</f>
        <v>59.618113220607171</v>
      </c>
      <c r="D134" s="33">
        <f>'3º Alta Frec'!T122</f>
        <v>58.760280244498539</v>
      </c>
      <c r="E134" s="34">
        <f t="shared" si="81"/>
        <v>2</v>
      </c>
      <c r="F134" s="112">
        <f t="shared" si="84"/>
        <v>59.168050820253669</v>
      </c>
      <c r="G134" s="101">
        <v>52</v>
      </c>
      <c r="H134" s="18">
        <f t="shared" si="92"/>
        <v>60</v>
      </c>
      <c r="I134" s="95">
        <f t="shared" si="93"/>
        <v>61</v>
      </c>
      <c r="J134" s="18">
        <f t="shared" si="94"/>
        <v>62</v>
      </c>
      <c r="K134" s="79">
        <f t="shared" si="88"/>
        <v>7.1680508202536686</v>
      </c>
      <c r="L134" s="33">
        <f t="shared" si="89"/>
        <v>0</v>
      </c>
      <c r="M134" s="98">
        <f t="shared" si="90"/>
        <v>0</v>
      </c>
      <c r="N134" s="66">
        <f t="shared" si="91"/>
        <v>0</v>
      </c>
      <c r="O134" s="99">
        <v>-13</v>
      </c>
      <c r="P134" s="33">
        <f t="shared" si="95"/>
        <v>-72.168050820253669</v>
      </c>
      <c r="Q134" s="97">
        <f t="shared" si="99"/>
        <v>6.0700870320755932E-8</v>
      </c>
      <c r="R134" s="34">
        <v>-14</v>
      </c>
      <c r="S134" s="33">
        <f t="shared" si="96"/>
        <v>-73.168050820253669</v>
      </c>
      <c r="T134" s="97">
        <f t="shared" si="86"/>
        <v>4.821641516811363E-8</v>
      </c>
      <c r="U134" s="34">
        <v>-12</v>
      </c>
      <c r="V134" s="33">
        <f t="shared" si="100"/>
        <v>-71.168050820253669</v>
      </c>
      <c r="W134" s="97">
        <f t="shared" si="97"/>
        <v>7.6417868164821932E-8</v>
      </c>
      <c r="X134" s="34">
        <v>-12</v>
      </c>
      <c r="Y134" s="33">
        <f t="shared" si="98"/>
        <v>-71.168050820253669</v>
      </c>
      <c r="Z134" s="97">
        <f t="shared" si="83"/>
        <v>7.6417868164821932E-8</v>
      </c>
    </row>
    <row r="135" spans="2:26" x14ac:dyDescent="0.2">
      <c r="B135" s="13">
        <v>630</v>
      </c>
      <c r="C135" s="33">
        <f>'3º Alta Frec'!J123</f>
        <v>63.789792708040181</v>
      </c>
      <c r="D135" s="33">
        <f>'3º Alta Frec'!T123</f>
        <v>62.04677944284942</v>
      </c>
      <c r="E135" s="34">
        <f t="shared" si="81"/>
        <v>2</v>
      </c>
      <c r="F135" s="112">
        <f t="shared" si="84"/>
        <v>62.831423318164248</v>
      </c>
      <c r="G135" s="13">
        <v>53</v>
      </c>
      <c r="H135" s="18">
        <f t="shared" si="92"/>
        <v>61</v>
      </c>
      <c r="I135" s="18">
        <f t="shared" si="93"/>
        <v>62</v>
      </c>
      <c r="J135" s="18">
        <f t="shared" si="94"/>
        <v>63</v>
      </c>
      <c r="K135" s="79">
        <f t="shared" si="88"/>
        <v>9.8314233181642479</v>
      </c>
      <c r="L135" s="33">
        <f t="shared" si="89"/>
        <v>1.8314233181642479</v>
      </c>
      <c r="M135" s="98">
        <f t="shared" si="90"/>
        <v>0.83142331816424786</v>
      </c>
      <c r="N135" s="66">
        <f t="shared" si="91"/>
        <v>0</v>
      </c>
      <c r="O135" s="99">
        <v>-12</v>
      </c>
      <c r="P135" s="33">
        <f t="shared" si="95"/>
        <v>-74.831423318164241</v>
      </c>
      <c r="Q135" s="97">
        <f t="shared" si="99"/>
        <v>3.2874387362175825E-8</v>
      </c>
      <c r="R135" s="34">
        <v>-13</v>
      </c>
      <c r="S135" s="33">
        <f t="shared" si="96"/>
        <v>-75.831423318164241</v>
      </c>
      <c r="T135" s="97">
        <f t="shared" si="86"/>
        <v>2.6113054081039375E-8</v>
      </c>
      <c r="U135" s="34">
        <v>-11</v>
      </c>
      <c r="V135" s="33">
        <f t="shared" si="100"/>
        <v>-73.831423318164241</v>
      </c>
      <c r="W135" s="97">
        <f t="shared" si="97"/>
        <v>4.1386401647408129E-8</v>
      </c>
      <c r="X135" s="34">
        <v>-11</v>
      </c>
      <c r="Y135" s="33">
        <f t="shared" si="98"/>
        <v>-73.831423318164241</v>
      </c>
      <c r="Z135" s="97">
        <f t="shared" si="83"/>
        <v>4.1386401647408129E-8</v>
      </c>
    </row>
    <row r="136" spans="2:26" x14ac:dyDescent="0.2">
      <c r="B136" s="13">
        <v>800</v>
      </c>
      <c r="C136" s="33">
        <f>'3º Alta Frec'!J124</f>
        <v>67.724729940656132</v>
      </c>
      <c r="D136" s="33">
        <f>'3º Alta Frec'!T124</f>
        <v>67.244457605082104</v>
      </c>
      <c r="E136" s="34">
        <f t="shared" si="81"/>
        <v>2</v>
      </c>
      <c r="F136" s="112">
        <f t="shared" si="84"/>
        <v>67.477958180955298</v>
      </c>
      <c r="G136" s="13">
        <v>54</v>
      </c>
      <c r="H136" s="18">
        <f t="shared" si="92"/>
        <v>62</v>
      </c>
      <c r="I136" s="18">
        <f t="shared" si="93"/>
        <v>63</v>
      </c>
      <c r="J136" s="18">
        <f t="shared" si="94"/>
        <v>64</v>
      </c>
      <c r="K136" s="79">
        <f t="shared" si="88"/>
        <v>13.477958180955298</v>
      </c>
      <c r="L136" s="33">
        <f t="shared" si="89"/>
        <v>5.477958180955298</v>
      </c>
      <c r="M136" s="98">
        <f t="shared" si="90"/>
        <v>4.477958180955298</v>
      </c>
      <c r="N136" s="66">
        <f t="shared" si="91"/>
        <v>3.477958180955298</v>
      </c>
      <c r="O136" s="99">
        <v>-11</v>
      </c>
      <c r="P136" s="33">
        <f t="shared" si="95"/>
        <v>-78.477958180955298</v>
      </c>
      <c r="Q136" s="97">
        <f t="shared" si="99"/>
        <v>1.419724843060981E-8</v>
      </c>
      <c r="R136" s="34">
        <v>-12</v>
      </c>
      <c r="S136" s="33">
        <f t="shared" si="96"/>
        <v>-79.477958180955298</v>
      </c>
      <c r="T136" s="97">
        <f t="shared" si="86"/>
        <v>1.1277275283828337E-8</v>
      </c>
      <c r="U136" s="34">
        <v>-9</v>
      </c>
      <c r="V136" s="33">
        <f t="shared" si="100"/>
        <v>-76.477958180955298</v>
      </c>
      <c r="W136" s="97">
        <f t="shared" si="97"/>
        <v>2.250112238935267E-8</v>
      </c>
      <c r="X136" s="34">
        <v>-9</v>
      </c>
      <c r="Y136" s="33">
        <f t="shared" si="98"/>
        <v>-76.477958180955298</v>
      </c>
      <c r="Z136" s="97">
        <f t="shared" si="83"/>
        <v>2.250112238935267E-8</v>
      </c>
    </row>
    <row r="137" spans="2:26" x14ac:dyDescent="0.2">
      <c r="B137" s="13">
        <v>1000</v>
      </c>
      <c r="C137" s="33">
        <f>'3º Alta Frec'!J125</f>
        <v>67.431364376224394</v>
      </c>
      <c r="D137" s="33">
        <f>'3º Alta Frec'!T125</f>
        <v>67.068263538856286</v>
      </c>
      <c r="E137" s="34">
        <f t="shared" si="81"/>
        <v>2</v>
      </c>
      <c r="F137" s="112">
        <f t="shared" si="84"/>
        <v>67.246020338185872</v>
      </c>
      <c r="G137" s="13">
        <v>55</v>
      </c>
      <c r="H137" s="18">
        <f t="shared" si="92"/>
        <v>63</v>
      </c>
      <c r="I137" s="18">
        <f t="shared" si="93"/>
        <v>64</v>
      </c>
      <c r="J137" s="18">
        <f t="shared" si="94"/>
        <v>65</v>
      </c>
      <c r="K137" s="79">
        <f t="shared" si="88"/>
        <v>12.246020338185872</v>
      </c>
      <c r="L137" s="33">
        <f t="shared" si="89"/>
        <v>4.2460203381858719</v>
      </c>
      <c r="M137" s="98">
        <f t="shared" si="90"/>
        <v>3.2460203381858719</v>
      </c>
      <c r="N137" s="66">
        <f t="shared" si="91"/>
        <v>2.2460203381858719</v>
      </c>
      <c r="O137" s="99">
        <v>-10</v>
      </c>
      <c r="P137" s="33">
        <f t="shared" si="95"/>
        <v>-77.246020338185872</v>
      </c>
      <c r="Q137" s="97">
        <f t="shared" si="99"/>
        <v>1.8853759643015305E-8</v>
      </c>
      <c r="R137" s="34">
        <v>-11</v>
      </c>
      <c r="S137" s="33">
        <f t="shared" si="96"/>
        <v>-78.246020338185872</v>
      </c>
      <c r="T137" s="97">
        <f t="shared" si="86"/>
        <v>1.4976073615152263E-8</v>
      </c>
      <c r="U137" s="34">
        <v>-8</v>
      </c>
      <c r="V137" s="33">
        <f t="shared" si="100"/>
        <v>-75.246020338185872</v>
      </c>
      <c r="W137" s="97">
        <f t="shared" si="97"/>
        <v>2.9881195310513081E-8</v>
      </c>
      <c r="X137" s="34">
        <v>-8</v>
      </c>
      <c r="Y137" s="33">
        <f t="shared" si="98"/>
        <v>-75.246020338185872</v>
      </c>
      <c r="Z137" s="97">
        <f t="shared" si="83"/>
        <v>2.9881195310513081E-8</v>
      </c>
    </row>
    <row r="138" spans="2:26" x14ac:dyDescent="0.2">
      <c r="B138" s="13">
        <v>1250</v>
      </c>
      <c r="C138" s="33">
        <f>'3º Alta Frec'!J126</f>
        <v>68.863597205096085</v>
      </c>
      <c r="D138" s="33">
        <f>'3º Alta Frec'!T126</f>
        <v>69.164703188035261</v>
      </c>
      <c r="E138" s="34">
        <f t="shared" si="81"/>
        <v>2</v>
      </c>
      <c r="F138" s="112">
        <f t="shared" si="84"/>
        <v>69.01154117597838</v>
      </c>
      <c r="G138" s="13">
        <v>56</v>
      </c>
      <c r="H138" s="18">
        <f t="shared" si="92"/>
        <v>64</v>
      </c>
      <c r="I138" s="18">
        <f t="shared" si="93"/>
        <v>65</v>
      </c>
      <c r="J138" s="18">
        <f t="shared" si="94"/>
        <v>66</v>
      </c>
      <c r="K138" s="79">
        <f t="shared" si="88"/>
        <v>13.01154117597838</v>
      </c>
      <c r="L138" s="33">
        <f t="shared" si="89"/>
        <v>5.0115411759783797</v>
      </c>
      <c r="M138" s="98">
        <f t="shared" si="90"/>
        <v>4.0115411759783797</v>
      </c>
      <c r="N138" s="66">
        <f t="shared" si="91"/>
        <v>3.0115411759783797</v>
      </c>
      <c r="O138" s="99">
        <v>-9</v>
      </c>
      <c r="P138" s="33">
        <f t="shared" si="95"/>
        <v>-78.01154117597838</v>
      </c>
      <c r="Q138" s="97">
        <f t="shared" si="99"/>
        <v>1.5806870030974161E-8</v>
      </c>
      <c r="R138" s="34">
        <v>-10</v>
      </c>
      <c r="S138" s="33">
        <f t="shared" si="96"/>
        <v>-79.01154117597838</v>
      </c>
      <c r="T138" s="97">
        <f t="shared" si="86"/>
        <v>1.2555843168219821E-8</v>
      </c>
      <c r="U138" s="34">
        <v>-9</v>
      </c>
      <c r="V138" s="33">
        <f t="shared" si="100"/>
        <v>-78.01154117597838</v>
      </c>
      <c r="W138" s="97">
        <f t="shared" si="97"/>
        <v>1.5806870030974161E-8</v>
      </c>
      <c r="X138" s="34">
        <v>-9</v>
      </c>
      <c r="Y138" s="33">
        <f t="shared" si="98"/>
        <v>-78.01154117597838</v>
      </c>
      <c r="Z138" s="97">
        <f t="shared" si="83"/>
        <v>1.5806870030974161E-8</v>
      </c>
    </row>
    <row r="139" spans="2:26" x14ac:dyDescent="0.2">
      <c r="B139" s="13">
        <v>1600</v>
      </c>
      <c r="C139" s="33">
        <f>'3º Alta Frec'!J127</f>
        <v>69.260280188366167</v>
      </c>
      <c r="D139" s="33">
        <f>'3º Alta Frec'!T127</f>
        <v>68.095660688904218</v>
      </c>
      <c r="E139" s="34">
        <f t="shared" si="81"/>
        <v>2</v>
      </c>
      <c r="F139" s="112">
        <f t="shared" si="84"/>
        <v>68.639048290541893</v>
      </c>
      <c r="G139" s="13">
        <v>56</v>
      </c>
      <c r="H139" s="18">
        <f t="shared" si="92"/>
        <v>64</v>
      </c>
      <c r="I139" s="18">
        <f t="shared" si="93"/>
        <v>65</v>
      </c>
      <c r="J139" s="18">
        <f t="shared" si="94"/>
        <v>66</v>
      </c>
      <c r="K139" s="79">
        <f t="shared" si="88"/>
        <v>12.639048290541893</v>
      </c>
      <c r="L139" s="33">
        <f t="shared" si="89"/>
        <v>4.6390482905418935</v>
      </c>
      <c r="M139" s="98">
        <f t="shared" si="90"/>
        <v>3.6390482905418935</v>
      </c>
      <c r="N139" s="66">
        <f t="shared" si="91"/>
        <v>2.6390482905418935</v>
      </c>
      <c r="O139" s="99">
        <v>-9</v>
      </c>
      <c r="P139" s="33">
        <f t="shared" si="95"/>
        <v>-77.639048290541893</v>
      </c>
      <c r="Q139" s="97">
        <f t="shared" si="99"/>
        <v>1.7222459452367386E-8</v>
      </c>
      <c r="R139" s="34">
        <v>-10</v>
      </c>
      <c r="S139" s="33">
        <f t="shared" si="96"/>
        <v>-78.639048290541893</v>
      </c>
      <c r="T139" s="97">
        <f t="shared" si="86"/>
        <v>1.3680285814409515E-8</v>
      </c>
      <c r="U139" s="34">
        <v>-10</v>
      </c>
      <c r="V139" s="33">
        <f t="shared" si="100"/>
        <v>-78.639048290541893</v>
      </c>
      <c r="W139" s="97">
        <f t="shared" si="97"/>
        <v>1.3680285814409515E-8</v>
      </c>
      <c r="X139" s="34">
        <v>-10</v>
      </c>
      <c r="Y139" s="33">
        <f t="shared" si="98"/>
        <v>-78.639048290541893</v>
      </c>
      <c r="Z139" s="97">
        <f t="shared" si="83"/>
        <v>1.3680285814409515E-8</v>
      </c>
    </row>
    <row r="140" spans="2:26" x14ac:dyDescent="0.2">
      <c r="B140" s="13">
        <v>2000</v>
      </c>
      <c r="C140" s="33">
        <f>'3º Alta Frec'!J128</f>
        <v>69.878722151979687</v>
      </c>
      <c r="D140" s="33">
        <f>'3º Alta Frec'!T128</f>
        <v>68.171688594124959</v>
      </c>
      <c r="E140" s="34">
        <f t="shared" si="81"/>
        <v>2</v>
      </c>
      <c r="F140" s="112">
        <f t="shared" si="84"/>
        <v>68.941869164155889</v>
      </c>
      <c r="G140" s="13">
        <v>56</v>
      </c>
      <c r="H140" s="18">
        <f t="shared" si="92"/>
        <v>64</v>
      </c>
      <c r="I140" s="18">
        <f t="shared" si="93"/>
        <v>65</v>
      </c>
      <c r="J140" s="18">
        <f t="shared" si="94"/>
        <v>66</v>
      </c>
      <c r="K140" s="79">
        <f t="shared" si="88"/>
        <v>12.941869164155889</v>
      </c>
      <c r="L140" s="33">
        <f t="shared" si="89"/>
        <v>4.9418691641558894</v>
      </c>
      <c r="M140" s="98">
        <f t="shared" si="90"/>
        <v>3.9418691641558894</v>
      </c>
      <c r="N140" s="66">
        <f t="shared" si="91"/>
        <v>2.9418691641558894</v>
      </c>
      <c r="O140" s="99">
        <v>-9</v>
      </c>
      <c r="P140" s="33">
        <f t="shared" si="95"/>
        <v>-77.941869164155889</v>
      </c>
      <c r="Q140" s="97">
        <f t="shared" si="99"/>
        <v>1.6062497888475439E-8</v>
      </c>
      <c r="R140" s="34">
        <v>-10</v>
      </c>
      <c r="S140" s="33">
        <f t="shared" si="96"/>
        <v>-78.941869164155889</v>
      </c>
      <c r="T140" s="97">
        <f t="shared" si="86"/>
        <v>1.2758895593015161E-8</v>
      </c>
      <c r="U140" s="34">
        <v>-11</v>
      </c>
      <c r="V140" s="33">
        <f t="shared" si="100"/>
        <v>-79.941869164155889</v>
      </c>
      <c r="W140" s="97">
        <f t="shared" si="97"/>
        <v>1.0134751013431159E-8</v>
      </c>
      <c r="X140" s="34">
        <v>-11</v>
      </c>
      <c r="Y140" s="33">
        <f t="shared" si="98"/>
        <v>-79.941869164155889</v>
      </c>
      <c r="Z140" s="97">
        <f t="shared" si="83"/>
        <v>1.0134751013431159E-8</v>
      </c>
    </row>
    <row r="141" spans="2:26" x14ac:dyDescent="0.2">
      <c r="B141" s="13">
        <v>2500</v>
      </c>
      <c r="C141" s="33">
        <f>'3º Alta Frec'!J129</f>
        <v>68.267850797972571</v>
      </c>
      <c r="D141" s="33">
        <f>'3º Alta Frec'!T129</f>
        <v>68.318658957989385</v>
      </c>
      <c r="E141" s="34">
        <f t="shared" si="81"/>
        <v>2</v>
      </c>
      <c r="F141" s="112">
        <f t="shared" si="84"/>
        <v>68.293180577750661</v>
      </c>
      <c r="G141" s="13">
        <v>56</v>
      </c>
      <c r="H141" s="18">
        <f t="shared" si="92"/>
        <v>64</v>
      </c>
      <c r="I141" s="18">
        <f t="shared" si="93"/>
        <v>65</v>
      </c>
      <c r="J141" s="18">
        <f t="shared" si="94"/>
        <v>66</v>
      </c>
      <c r="K141" s="79">
        <f t="shared" si="88"/>
        <v>12.293180577750661</v>
      </c>
      <c r="L141" s="33">
        <f t="shared" si="89"/>
        <v>4.2931805777506611</v>
      </c>
      <c r="M141" s="98">
        <f t="shared" si="90"/>
        <v>3.2931805777506611</v>
      </c>
      <c r="N141" s="66">
        <f t="shared" si="91"/>
        <v>2.2931805777506611</v>
      </c>
      <c r="O141" s="99">
        <v>-9</v>
      </c>
      <c r="P141" s="33">
        <f t="shared" si="95"/>
        <v>-77.293180577750661</v>
      </c>
      <c r="Q141" s="97">
        <f t="shared" si="99"/>
        <v>1.8650133385538627E-8</v>
      </c>
      <c r="R141" s="34">
        <v>-10</v>
      </c>
      <c r="S141" s="33">
        <f t="shared" si="96"/>
        <v>-78.293180577750661</v>
      </c>
      <c r="T141" s="97">
        <f t="shared" si="86"/>
        <v>1.4814327529507246E-8</v>
      </c>
      <c r="U141" s="34">
        <v>-13</v>
      </c>
      <c r="V141" s="33">
        <f t="shared" si="100"/>
        <v>-81.293180577750661</v>
      </c>
      <c r="W141" s="97">
        <f t="shared" si="97"/>
        <v>7.4247518325621011E-9</v>
      </c>
      <c r="X141" s="34">
        <v>-13</v>
      </c>
      <c r="Y141" s="33">
        <f t="shared" si="98"/>
        <v>-81.293180577750661</v>
      </c>
      <c r="Z141" s="97">
        <f t="shared" si="83"/>
        <v>7.4247518325621011E-9</v>
      </c>
    </row>
    <row r="142" spans="2:26" x14ac:dyDescent="0.2">
      <c r="B142" s="13">
        <v>3150</v>
      </c>
      <c r="C142" s="33">
        <f>'3º Alta Frec'!J130</f>
        <v>64.059668907489566</v>
      </c>
      <c r="D142" s="33">
        <f>'3º Alta Frec'!T130</f>
        <v>64.425034511419369</v>
      </c>
      <c r="E142" s="34">
        <f t="shared" si="81"/>
        <v>2</v>
      </c>
      <c r="F142" s="112">
        <f t="shared" si="84"/>
        <v>64.23851063266784</v>
      </c>
      <c r="G142" s="13">
        <v>56</v>
      </c>
      <c r="H142" s="18">
        <f t="shared" si="92"/>
        <v>64</v>
      </c>
      <c r="I142" s="18">
        <f t="shared" si="93"/>
        <v>65</v>
      </c>
      <c r="J142" s="18">
        <f t="shared" si="94"/>
        <v>66</v>
      </c>
      <c r="K142" s="79">
        <f t="shared" si="88"/>
        <v>8.2385106326678397</v>
      </c>
      <c r="L142" s="33">
        <f t="shared" si="89"/>
        <v>0.23851063266783967</v>
      </c>
      <c r="M142" s="98">
        <f t="shared" si="90"/>
        <v>0</v>
      </c>
      <c r="N142" s="66">
        <f t="shared" si="91"/>
        <v>0</v>
      </c>
      <c r="O142" s="99">
        <v>-9</v>
      </c>
      <c r="P142" s="33">
        <f t="shared" si="95"/>
        <v>-73.23851063266784</v>
      </c>
      <c r="Q142" s="97">
        <f t="shared" si="99"/>
        <v>4.744046494607503E-8</v>
      </c>
      <c r="R142" s="34">
        <v>-10</v>
      </c>
      <c r="S142" s="33">
        <f t="shared" si="96"/>
        <v>-74.23851063266784</v>
      </c>
      <c r="T142" s="97">
        <f t="shared" si="86"/>
        <v>3.768330077511497E-8</v>
      </c>
      <c r="U142" s="34">
        <v>-15</v>
      </c>
      <c r="V142" s="33">
        <f t="shared" si="100"/>
        <v>-79.23851063266784</v>
      </c>
      <c r="W142" s="97">
        <f t="shared" si="97"/>
        <v>1.1916506020255198E-8</v>
      </c>
      <c r="X142" s="34">
        <v>-15</v>
      </c>
      <c r="Y142" s="33">
        <f t="shared" si="98"/>
        <v>-79.23851063266784</v>
      </c>
      <c r="Z142" s="97">
        <f t="shared" si="83"/>
        <v>1.1916506020255198E-8</v>
      </c>
    </row>
    <row r="143" spans="2:26" x14ac:dyDescent="0.2">
      <c r="B143" s="13">
        <v>4000</v>
      </c>
      <c r="C143" s="33">
        <f>'3º Alta Frec'!J131</f>
        <v>64.158369185258465</v>
      </c>
      <c r="D143" s="33">
        <f>'3º Alta Frec'!T131</f>
        <v>64.131069662193866</v>
      </c>
      <c r="E143" s="34">
        <f t="shared" si="81"/>
        <v>2</v>
      </c>
      <c r="F143" s="112">
        <f t="shared" si="84"/>
        <v>64.144697973340442</v>
      </c>
      <c r="G143" s="13"/>
      <c r="H143" s="18"/>
      <c r="I143" s="18"/>
      <c r="J143" s="18"/>
      <c r="K143" s="13"/>
      <c r="L143" s="18"/>
      <c r="M143" s="95"/>
      <c r="N143" s="96"/>
      <c r="O143" s="99"/>
      <c r="P143" s="18"/>
      <c r="Q143" s="97"/>
      <c r="R143" s="34">
        <v>-10</v>
      </c>
      <c r="S143" s="33">
        <f t="shared" si="96"/>
        <v>-74.144697973340442</v>
      </c>
      <c r="T143" s="97">
        <f t="shared" si="86"/>
        <v>3.8506159255111873E-8</v>
      </c>
      <c r="U143" s="18"/>
      <c r="V143" s="18"/>
      <c r="W143" s="97"/>
      <c r="X143" s="34">
        <v>-16</v>
      </c>
      <c r="Y143" s="33">
        <f t="shared" si="98"/>
        <v>-80.144697973340442</v>
      </c>
      <c r="Z143" s="97">
        <f t="shared" si="83"/>
        <v>9.6723098962462759E-9</v>
      </c>
    </row>
    <row r="144" spans="2:26" x14ac:dyDescent="0.2">
      <c r="B144" s="15">
        <v>5000</v>
      </c>
      <c r="C144" s="33">
        <f>'3º Alta Frec'!J132</f>
        <v>64.110184601465818</v>
      </c>
      <c r="D144" s="33">
        <f>'3º Alta Frec'!T132</f>
        <v>62.767946270314987</v>
      </c>
      <c r="E144" s="24">
        <f t="shared" si="81"/>
        <v>2</v>
      </c>
      <c r="F144" s="113">
        <f t="shared" si="84"/>
        <v>63.387416185734608</v>
      </c>
      <c r="G144" s="15"/>
      <c r="H144" s="16"/>
      <c r="I144" s="16"/>
      <c r="J144" s="16"/>
      <c r="K144" s="13"/>
      <c r="L144" s="18"/>
      <c r="M144" s="95"/>
      <c r="N144" s="96"/>
      <c r="O144" s="13"/>
      <c r="P144" s="18"/>
      <c r="Q144" s="97"/>
      <c r="R144" s="34">
        <v>-10</v>
      </c>
      <c r="S144" s="33">
        <f t="shared" si="96"/>
        <v>-73.387416185734608</v>
      </c>
      <c r="T144" s="97">
        <f t="shared" si="86"/>
        <v>4.5841453713858949E-8</v>
      </c>
      <c r="U144" s="18"/>
      <c r="V144" s="18"/>
      <c r="W144" s="97"/>
      <c r="X144" s="34">
        <v>-18</v>
      </c>
      <c r="Y144" s="33">
        <f t="shared" si="98"/>
        <v>-81.387416185734608</v>
      </c>
      <c r="Z144" s="97">
        <f t="shared" si="83"/>
        <v>7.2653807923616321E-9</v>
      </c>
    </row>
    <row r="145" spans="5:26" x14ac:dyDescent="0.2">
      <c r="K145" s="80">
        <f>SUM(K127:K142)</f>
        <v>160.75353127826952</v>
      </c>
      <c r="L145" s="141">
        <f t="shared" ref="L145:N145" si="101">SUM(L127:L142)</f>
        <v>39.759396819137471</v>
      </c>
      <c r="M145" s="102">
        <f t="shared" si="101"/>
        <v>29.520886186469632</v>
      </c>
      <c r="N145" s="68">
        <f t="shared" si="101"/>
        <v>19.689462868305384</v>
      </c>
      <c r="O145" s="79" t="s">
        <v>130</v>
      </c>
      <c r="P145" s="33">
        <f>52+9</f>
        <v>61</v>
      </c>
      <c r="Q145" s="103">
        <f>-10*LOG10(SUM(Q124:Q144))</f>
        <v>60.953688354499185</v>
      </c>
      <c r="R145" s="34"/>
      <c r="S145" s="33"/>
      <c r="T145" s="103">
        <f>-10*LOG10(SUM(T124:T144))</f>
        <v>61.259810796511296</v>
      </c>
      <c r="U145" s="33"/>
      <c r="V145" s="33"/>
      <c r="W145" s="103">
        <f>-10*LOG10(SUM(W124:W144))</f>
        <v>55.57698893184731</v>
      </c>
      <c r="X145" s="34"/>
      <c r="Y145" s="33"/>
      <c r="Z145" s="103">
        <f>-10*LOG10(SUM(Z124:Z144))</f>
        <v>54.58791881782745</v>
      </c>
    </row>
    <row r="146" spans="5:26" x14ac:dyDescent="0.2">
      <c r="O146" s="15"/>
      <c r="P146" s="16"/>
      <c r="Q146" s="114">
        <f>ROUND(Q145,0)-P145</f>
        <v>0</v>
      </c>
      <c r="R146" s="16"/>
      <c r="S146" s="16"/>
      <c r="T146" s="114">
        <f>ROUND(T145,0)-P145</f>
        <v>0</v>
      </c>
      <c r="U146" s="16"/>
      <c r="V146" s="16"/>
      <c r="W146" s="114">
        <f>ROUND(W145,0)-P145</f>
        <v>-5</v>
      </c>
      <c r="X146" s="16"/>
      <c r="Y146" s="16"/>
      <c r="Z146" s="114">
        <f>ROUND(Z145,0)-P145</f>
        <v>-6</v>
      </c>
    </row>
    <row r="150" spans="5:26" x14ac:dyDescent="0.2">
      <c r="E150" s="2" t="s">
        <v>91</v>
      </c>
    </row>
  </sheetData>
  <mergeCells count="40">
    <mergeCell ref="F121:Z121"/>
    <mergeCell ref="F92:F93"/>
    <mergeCell ref="F63:F64"/>
    <mergeCell ref="F33:F34"/>
    <mergeCell ref="X33:Z33"/>
    <mergeCell ref="G63:J63"/>
    <mergeCell ref="R63:T63"/>
    <mergeCell ref="U63:W63"/>
    <mergeCell ref="X63:Z63"/>
    <mergeCell ref="G33:J33"/>
    <mergeCell ref="K33:N33"/>
    <mergeCell ref="O33:Q33"/>
    <mergeCell ref="R33:T33"/>
    <mergeCell ref="U33:W33"/>
    <mergeCell ref="F62:Z62"/>
    <mergeCell ref="F32:Z32"/>
    <mergeCell ref="F2:Z2"/>
    <mergeCell ref="F3:F4"/>
    <mergeCell ref="G3:J3"/>
    <mergeCell ref="K3:N3"/>
    <mergeCell ref="O3:Q3"/>
    <mergeCell ref="R3:T3"/>
    <mergeCell ref="U3:W3"/>
    <mergeCell ref="X3:Z3"/>
    <mergeCell ref="F122:F123"/>
    <mergeCell ref="K63:N63"/>
    <mergeCell ref="O63:Q63"/>
    <mergeCell ref="X92:Z92"/>
    <mergeCell ref="G122:J122"/>
    <mergeCell ref="K122:N122"/>
    <mergeCell ref="O122:Q122"/>
    <mergeCell ref="R122:T122"/>
    <mergeCell ref="U122:W122"/>
    <mergeCell ref="X122:Z122"/>
    <mergeCell ref="G92:J92"/>
    <mergeCell ref="K92:N92"/>
    <mergeCell ref="O92:Q92"/>
    <mergeCell ref="R92:T92"/>
    <mergeCell ref="U92:W92"/>
    <mergeCell ref="F91:Z91"/>
  </mergeCells>
  <conditionalFormatting sqref="H24">
    <cfRule type="cellIs" dxfId="15" priority="4" operator="lessThan">
      <formula>0</formula>
    </cfRule>
  </conditionalFormatting>
  <conditionalFormatting sqref="H84">
    <cfRule type="cellIs" dxfId="14" priority="3" operator="lessThan">
      <formula>0</formula>
    </cfRule>
  </conditionalFormatting>
  <conditionalFormatting sqref="H113">
    <cfRule type="cellIs" dxfId="13" priority="2" operator="lessThan">
      <formula>0</formula>
    </cfRule>
  </conditionalFormatting>
  <conditionalFormatting sqref="H143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FF39-7BB0-C640-88B1-A7BE88E9CDFB}">
  <dimension ref="B2:Z145"/>
  <sheetViews>
    <sheetView showGridLines="0" topLeftCell="Q144" workbookViewId="0">
      <selection activeCell="G120" sqref="G120:Z120"/>
    </sheetView>
  </sheetViews>
  <sheetFormatPr baseColWidth="10" defaultRowHeight="16" x14ac:dyDescent="0.2"/>
  <cols>
    <col min="1" max="5" width="10.83203125" style="2"/>
    <col min="6" max="6" width="10.5" style="2" customWidth="1"/>
    <col min="7" max="10" width="5.83203125" style="2" customWidth="1"/>
    <col min="11" max="11" width="6.33203125" style="2" customWidth="1"/>
    <col min="12" max="14" width="5.83203125" style="2" customWidth="1"/>
    <col min="15" max="15" width="7.83203125" style="2" customWidth="1"/>
    <col min="16" max="16" width="7" style="2" customWidth="1"/>
    <col min="17" max="17" width="14.83203125" style="2" customWidth="1"/>
    <col min="18" max="18" width="7.83203125" style="2" customWidth="1"/>
    <col min="19" max="19" width="7.33203125" style="2" customWidth="1"/>
    <col min="20" max="20" width="14.83203125" style="2" customWidth="1"/>
    <col min="21" max="21" width="7.83203125" style="2" customWidth="1"/>
    <col min="22" max="22" width="7.5" style="2" customWidth="1"/>
    <col min="23" max="23" width="15.5" style="2" customWidth="1"/>
    <col min="24" max="24" width="7.83203125" style="2" customWidth="1"/>
    <col min="25" max="25" width="7.1640625" style="2" customWidth="1"/>
    <col min="26" max="26" width="14.83203125" style="2" customWidth="1"/>
    <col min="27" max="16384" width="10.83203125" style="2"/>
  </cols>
  <sheetData>
    <row r="2" spans="2:26" x14ac:dyDescent="0.2">
      <c r="F2" s="172" t="s">
        <v>42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4"/>
    </row>
    <row r="3" spans="2:26" x14ac:dyDescent="0.2">
      <c r="B3" s="43" t="s">
        <v>42</v>
      </c>
      <c r="C3" s="44"/>
      <c r="D3" s="44"/>
      <c r="E3" s="44"/>
      <c r="F3" s="184"/>
      <c r="G3" s="162" t="s">
        <v>96</v>
      </c>
      <c r="H3" s="163"/>
      <c r="I3" s="163"/>
      <c r="J3" s="163"/>
      <c r="K3" s="186" t="s">
        <v>95</v>
      </c>
      <c r="L3" s="187"/>
      <c r="M3" s="187"/>
      <c r="N3" s="188"/>
      <c r="O3" s="189" t="s">
        <v>99</v>
      </c>
      <c r="P3" s="190"/>
      <c r="Q3" s="191"/>
      <c r="R3" s="192" t="s">
        <v>97</v>
      </c>
      <c r="S3" s="192"/>
      <c r="T3" s="193"/>
      <c r="U3" s="190" t="s">
        <v>100</v>
      </c>
      <c r="V3" s="190"/>
      <c r="W3" s="191"/>
      <c r="X3" s="192" t="s">
        <v>98</v>
      </c>
      <c r="Y3" s="192"/>
      <c r="Z3" s="193"/>
    </row>
    <row r="4" spans="2:26" ht="30" customHeight="1" x14ac:dyDescent="0.2">
      <c r="B4" s="28"/>
      <c r="C4" s="29"/>
      <c r="D4" s="29"/>
      <c r="E4" s="29"/>
      <c r="F4" s="185"/>
      <c r="G4" s="89" t="s">
        <v>94</v>
      </c>
      <c r="H4" s="75" t="s">
        <v>101</v>
      </c>
      <c r="I4" s="90" t="s">
        <v>82</v>
      </c>
      <c r="J4" s="75" t="s">
        <v>83</v>
      </c>
      <c r="K4" s="89" t="s">
        <v>94</v>
      </c>
      <c r="L4" s="75" t="s">
        <v>101</v>
      </c>
      <c r="M4" s="90" t="s">
        <v>82</v>
      </c>
      <c r="N4" s="75" t="s">
        <v>83</v>
      </c>
      <c r="O4" s="91" t="s">
        <v>126</v>
      </c>
      <c r="P4" s="75"/>
      <c r="Q4" s="92"/>
      <c r="R4" s="88" t="s">
        <v>126</v>
      </c>
      <c r="S4" s="88"/>
      <c r="T4" s="92"/>
      <c r="U4" s="88" t="s">
        <v>126</v>
      </c>
      <c r="V4" s="75"/>
      <c r="W4" s="92"/>
      <c r="X4" s="88" t="s">
        <v>126</v>
      </c>
      <c r="Y4" s="88"/>
      <c r="Z4" s="92"/>
    </row>
    <row r="5" spans="2:26" x14ac:dyDescent="0.2">
      <c r="B5" s="13">
        <v>50</v>
      </c>
      <c r="C5" s="33">
        <f>'3º Alta Frec'!H5</f>
        <v>25.200795838349979</v>
      </c>
      <c r="D5" s="33">
        <f>'3º Alta Frec'!R5</f>
        <v>28.328391155282088</v>
      </c>
      <c r="E5" s="34">
        <f t="shared" ref="E5:E25" si="0">COUNT(C5:D5)</f>
        <v>2</v>
      </c>
      <c r="F5" s="112">
        <f>-10*LOG10((10^(-C5/10)+10^(-D5/10))/E5)</f>
        <v>26.488930727571184</v>
      </c>
      <c r="G5" s="13"/>
      <c r="H5" s="18"/>
      <c r="I5" s="18"/>
      <c r="J5" s="18"/>
      <c r="K5" s="13"/>
      <c r="L5" s="18"/>
      <c r="M5" s="95"/>
      <c r="N5" s="96"/>
      <c r="O5" s="13"/>
      <c r="P5" s="18"/>
      <c r="Q5" s="97"/>
      <c r="R5" s="34">
        <v>-41</v>
      </c>
      <c r="S5" s="33">
        <f t="shared" ref="S5:S7" si="1">R5-F5</f>
        <v>-67.488930727571187</v>
      </c>
      <c r="T5" s="97">
        <f>10^(S5/10)</f>
        <v>1.7828176593039632E-7</v>
      </c>
      <c r="U5" s="18"/>
      <c r="V5" s="18"/>
      <c r="W5" s="97"/>
      <c r="X5" s="34">
        <v>-25</v>
      </c>
      <c r="Y5" s="33">
        <f t="shared" ref="Y5:Y25" si="2">X5-F5</f>
        <v>-51.488930727571187</v>
      </c>
      <c r="Z5" s="97">
        <f t="shared" ref="Z5:Z25" si="3">10^(Y5/10)</f>
        <v>7.0975249395830883E-6</v>
      </c>
    </row>
    <row r="6" spans="2:26" x14ac:dyDescent="0.2">
      <c r="B6" s="13">
        <v>63</v>
      </c>
      <c r="C6" s="33">
        <f>'3º Alta Frec'!H6</f>
        <v>37.678395830980264</v>
      </c>
      <c r="D6" s="33">
        <f>'3º Alta Frec'!R6</f>
        <v>43.433076271830657</v>
      </c>
      <c r="E6" s="34">
        <f t="shared" si="0"/>
        <v>2</v>
      </c>
      <c r="F6" s="112">
        <f>-10*LOG10((10^(-C6/10)+10^(-D6/10))/E6)</f>
        <v>39.665093213401732</v>
      </c>
      <c r="G6" s="13"/>
      <c r="H6" s="18"/>
      <c r="I6" s="18"/>
      <c r="J6" s="18"/>
      <c r="K6" s="13"/>
      <c r="L6" s="18"/>
      <c r="M6" s="95"/>
      <c r="N6" s="96"/>
      <c r="O6" s="13"/>
      <c r="P6" s="18"/>
      <c r="Q6" s="97"/>
      <c r="R6" s="34">
        <v>-37</v>
      </c>
      <c r="S6" s="33">
        <f t="shared" si="1"/>
        <v>-76.665093213401732</v>
      </c>
      <c r="T6" s="97">
        <f t="shared" ref="T6:T25" si="4">10^(S6/10)</f>
        <v>2.1552153852962816E-8</v>
      </c>
      <c r="U6" s="18"/>
      <c r="V6" s="18"/>
      <c r="W6" s="97"/>
      <c r="X6" s="34">
        <v>-23</v>
      </c>
      <c r="Y6" s="33">
        <f t="shared" si="2"/>
        <v>-62.665093213401732</v>
      </c>
      <c r="Z6" s="97">
        <f t="shared" si="3"/>
        <v>5.4136562833064255E-7</v>
      </c>
    </row>
    <row r="7" spans="2:26" x14ac:dyDescent="0.2">
      <c r="B7" s="13">
        <v>80</v>
      </c>
      <c r="C7" s="33">
        <f>'3º Alta Frec'!H7</f>
        <v>31.200881098850534</v>
      </c>
      <c r="D7" s="33">
        <f>'3º Alta Frec'!R7</f>
        <v>44.035932322292481</v>
      </c>
      <c r="E7" s="34">
        <f t="shared" si="0"/>
        <v>2</v>
      </c>
      <c r="F7" s="112">
        <f>-10*LOG10((10^(-C7/10)+10^(-D7/10))/E7)</f>
        <v>33.990780562987446</v>
      </c>
      <c r="G7" s="13"/>
      <c r="H7" s="18"/>
      <c r="I7" s="18"/>
      <c r="J7" s="18"/>
      <c r="K7" s="13"/>
      <c r="L7" s="18"/>
      <c r="M7" s="95"/>
      <c r="N7" s="96"/>
      <c r="O7" s="13"/>
      <c r="P7" s="18"/>
      <c r="Q7" s="97"/>
      <c r="R7" s="34">
        <v>-34</v>
      </c>
      <c r="S7" s="33">
        <f t="shared" si="1"/>
        <v>-67.990780562987453</v>
      </c>
      <c r="T7" s="97">
        <f t="shared" si="4"/>
        <v>1.5882612627294853E-7</v>
      </c>
      <c r="U7" s="18"/>
      <c r="V7" s="18"/>
      <c r="W7" s="97"/>
      <c r="X7" s="34">
        <v>-21</v>
      </c>
      <c r="Y7" s="33">
        <f t="shared" si="2"/>
        <v>-54.990780562987446</v>
      </c>
      <c r="Z7" s="97">
        <f t="shared" si="3"/>
        <v>3.1689978438490349E-6</v>
      </c>
    </row>
    <row r="8" spans="2:26" x14ac:dyDescent="0.2">
      <c r="B8" s="13">
        <v>100</v>
      </c>
      <c r="C8" s="33">
        <f>'3º Alta Frec'!H8</f>
        <v>35.199794264902579</v>
      </c>
      <c r="D8" s="33">
        <f>'3º Alta Frec'!R8</f>
        <v>44.383819252317181</v>
      </c>
      <c r="E8" s="34">
        <f t="shared" si="0"/>
        <v>2</v>
      </c>
      <c r="F8" s="112">
        <f t="shared" ref="F8:F25" si="5">-10*LOG10((10^(-C8/10)+10^(-D8/10))/E8)</f>
        <v>37.715318710513287</v>
      </c>
      <c r="G8" s="13">
        <v>33</v>
      </c>
      <c r="H8" s="18">
        <f>G8-5</f>
        <v>28</v>
      </c>
      <c r="I8" s="18">
        <f>G8-6</f>
        <v>27</v>
      </c>
      <c r="J8" s="18">
        <f>G8-7</f>
        <v>26</v>
      </c>
      <c r="K8" s="79">
        <f t="shared" ref="K8:K23" si="6">IF((F8-G8)&gt;0,F8-G8,0)</f>
        <v>4.7153187105132872</v>
      </c>
      <c r="L8" s="33">
        <f t="shared" ref="L8:L23" si="7">IF((F8-H8)&gt;0,F8-H8,0)</f>
        <v>9.7153187105132872</v>
      </c>
      <c r="M8" s="98">
        <f t="shared" ref="M8:M23" si="8">IF((F8-I8)&gt;0,F8-I8,0)</f>
        <v>10.715318710513287</v>
      </c>
      <c r="N8" s="66">
        <f t="shared" ref="N8:N23" si="9">IF((F8-J8)&gt;0,F8-J8,0)</f>
        <v>11.715318710513287</v>
      </c>
      <c r="O8" s="99">
        <v>-29</v>
      </c>
      <c r="P8" s="33">
        <f>O8-F8</f>
        <v>-66.715318710513287</v>
      </c>
      <c r="Q8" s="97">
        <f>10^(P8/10)</f>
        <v>2.1304342181700526E-7</v>
      </c>
      <c r="R8" s="34">
        <v>-30</v>
      </c>
      <c r="S8" s="33">
        <f>R8-F8</f>
        <v>-67.715318710513287</v>
      </c>
      <c r="T8" s="97">
        <f>10^(S8/10)</f>
        <v>1.6922640517152242E-7</v>
      </c>
      <c r="U8" s="34">
        <v>-20</v>
      </c>
      <c r="V8" s="33">
        <f>U8-F8</f>
        <v>-57.715318710513287</v>
      </c>
      <c r="W8" s="97">
        <f>10^(V8/10)</f>
        <v>1.6922640517152264E-6</v>
      </c>
      <c r="X8" s="34">
        <v>-20</v>
      </c>
      <c r="Y8" s="33">
        <f>X8-F8</f>
        <v>-57.715318710513287</v>
      </c>
      <c r="Z8" s="97">
        <f>10^(Y8/10)</f>
        <v>1.6922640517152264E-6</v>
      </c>
    </row>
    <row r="9" spans="2:26" x14ac:dyDescent="0.2">
      <c r="B9" s="13">
        <v>125</v>
      </c>
      <c r="C9" s="33">
        <f>'3º Alta Frec'!H9</f>
        <v>32.633207931938273</v>
      </c>
      <c r="D9" s="33">
        <f>'3º Alta Frec'!R9</f>
        <v>33.997731621931855</v>
      </c>
      <c r="E9" s="34">
        <f t="shared" si="0"/>
        <v>2</v>
      </c>
      <c r="F9" s="112">
        <f t="shared" si="5"/>
        <v>33.262098260255229</v>
      </c>
      <c r="G9" s="13">
        <v>36</v>
      </c>
      <c r="H9" s="18">
        <f t="shared" ref="H9:H23" si="10">G9-5</f>
        <v>31</v>
      </c>
      <c r="I9" s="18">
        <f t="shared" ref="I9:I23" si="11">G9-6</f>
        <v>30</v>
      </c>
      <c r="J9" s="18">
        <f t="shared" ref="J9:J23" si="12">G9-7</f>
        <v>29</v>
      </c>
      <c r="K9" s="79">
        <f t="shared" si="6"/>
        <v>0</v>
      </c>
      <c r="L9" s="33">
        <f t="shared" si="7"/>
        <v>2.2620982602552289</v>
      </c>
      <c r="M9" s="98">
        <f t="shared" si="8"/>
        <v>3.2620982602552289</v>
      </c>
      <c r="N9" s="66">
        <f t="shared" si="9"/>
        <v>4.2620982602552289</v>
      </c>
      <c r="O9" s="99">
        <v>-26</v>
      </c>
      <c r="P9" s="33">
        <f t="shared" ref="P9:P23" si="13">O9-F9</f>
        <v>-59.262098260255229</v>
      </c>
      <c r="Q9" s="97">
        <f t="shared" ref="Q9:Q23" si="14">10^(P9/10)</f>
        <v>1.1851959915250229E-6</v>
      </c>
      <c r="R9" s="34">
        <v>-27</v>
      </c>
      <c r="S9" s="33">
        <f t="shared" ref="S9:S25" si="15">R9-F9</f>
        <v>-60.262098260255229</v>
      </c>
      <c r="T9" s="97">
        <f t="shared" si="4"/>
        <v>9.4143463975036349E-7</v>
      </c>
      <c r="U9" s="34">
        <v>-20</v>
      </c>
      <c r="V9" s="33">
        <f t="shared" ref="V9:V23" si="16">U9-F9</f>
        <v>-53.262098260255229</v>
      </c>
      <c r="W9" s="97">
        <f t="shared" ref="W9:W23" si="17">10^(V9/10)</f>
        <v>4.7183502273737249E-6</v>
      </c>
      <c r="X9" s="34">
        <v>-20</v>
      </c>
      <c r="Y9" s="33">
        <f t="shared" si="2"/>
        <v>-53.262098260255229</v>
      </c>
      <c r="Z9" s="97">
        <f t="shared" si="3"/>
        <v>4.7183502273737249E-6</v>
      </c>
    </row>
    <row r="10" spans="2:26" x14ac:dyDescent="0.2">
      <c r="B10" s="13">
        <v>160</v>
      </c>
      <c r="C10" s="33">
        <f>'3º Alta Frec'!H10</f>
        <v>36.492517484172531</v>
      </c>
      <c r="D10" s="33">
        <f>'3º Alta Frec'!R10</f>
        <v>38.7274888635949</v>
      </c>
      <c r="E10" s="34">
        <f t="shared" si="0"/>
        <v>2</v>
      </c>
      <c r="F10" s="112">
        <f t="shared" si="5"/>
        <v>37.467791740906129</v>
      </c>
      <c r="G10" s="13">
        <v>39</v>
      </c>
      <c r="H10" s="18">
        <f t="shared" si="10"/>
        <v>34</v>
      </c>
      <c r="I10" s="18">
        <f t="shared" si="11"/>
        <v>33</v>
      </c>
      <c r="J10" s="18">
        <f t="shared" si="12"/>
        <v>32</v>
      </c>
      <c r="K10" s="79">
        <f t="shared" si="6"/>
        <v>0</v>
      </c>
      <c r="L10" s="33">
        <f t="shared" si="7"/>
        <v>3.4677917409061294</v>
      </c>
      <c r="M10" s="98">
        <f t="shared" si="8"/>
        <v>4.4677917409061294</v>
      </c>
      <c r="N10" s="66">
        <f t="shared" si="9"/>
        <v>5.4677917409061294</v>
      </c>
      <c r="O10" s="99">
        <v>-23</v>
      </c>
      <c r="P10" s="33">
        <f t="shared" si="13"/>
        <v>-60.467791740906129</v>
      </c>
      <c r="Q10" s="97">
        <f t="shared" si="14"/>
        <v>8.9788522655239899E-7</v>
      </c>
      <c r="R10" s="34">
        <v>-24</v>
      </c>
      <c r="S10" s="33">
        <f t="shared" si="15"/>
        <v>-61.467791740906129</v>
      </c>
      <c r="T10" s="97">
        <f t="shared" si="4"/>
        <v>7.1321558699237925E-7</v>
      </c>
      <c r="U10" s="34">
        <v>-18</v>
      </c>
      <c r="V10" s="33">
        <f t="shared" si="16"/>
        <v>-55.467791740906129</v>
      </c>
      <c r="W10" s="97">
        <f t="shared" si="17"/>
        <v>2.8393623933218765E-6</v>
      </c>
      <c r="X10" s="34">
        <v>-18</v>
      </c>
      <c r="Y10" s="33">
        <f t="shared" si="2"/>
        <v>-55.467791740906129</v>
      </c>
      <c r="Z10" s="97">
        <f t="shared" si="3"/>
        <v>2.8393623933218765E-6</v>
      </c>
    </row>
    <row r="11" spans="2:26" x14ac:dyDescent="0.2">
      <c r="B11" s="13">
        <v>200</v>
      </c>
      <c r="C11" s="33">
        <f>'3º Alta Frec'!H11</f>
        <v>40.595516030889371</v>
      </c>
      <c r="D11" s="33">
        <f>'3º Alta Frec'!R11</f>
        <v>38.356675979562283</v>
      </c>
      <c r="E11" s="34">
        <f t="shared" si="0"/>
        <v>2</v>
      </c>
      <c r="F11" s="112">
        <f t="shared" si="5"/>
        <v>39.333397144955235</v>
      </c>
      <c r="G11" s="13">
        <v>42</v>
      </c>
      <c r="H11" s="18">
        <f t="shared" si="10"/>
        <v>37</v>
      </c>
      <c r="I11" s="18">
        <f t="shared" si="11"/>
        <v>36</v>
      </c>
      <c r="J11" s="18">
        <f t="shared" si="12"/>
        <v>35</v>
      </c>
      <c r="K11" s="79">
        <f t="shared" si="6"/>
        <v>0</v>
      </c>
      <c r="L11" s="33">
        <f t="shared" si="7"/>
        <v>2.3333971449552351</v>
      </c>
      <c r="M11" s="98">
        <f t="shared" si="8"/>
        <v>3.3333971449552351</v>
      </c>
      <c r="N11" s="66">
        <f t="shared" si="9"/>
        <v>4.3333971449552351</v>
      </c>
      <c r="O11" s="99">
        <v>-21</v>
      </c>
      <c r="P11" s="33">
        <f t="shared" si="13"/>
        <v>-60.333397144955235</v>
      </c>
      <c r="Q11" s="97">
        <f t="shared" si="14"/>
        <v>9.2610512060983403E-7</v>
      </c>
      <c r="R11" s="34">
        <v>-22</v>
      </c>
      <c r="S11" s="33">
        <f t="shared" si="15"/>
        <v>-61.333397144955235</v>
      </c>
      <c r="T11" s="97">
        <f t="shared" si="4"/>
        <v>7.3563144562312808E-7</v>
      </c>
      <c r="U11" s="34">
        <v>-16</v>
      </c>
      <c r="V11" s="33">
        <f t="shared" si="16"/>
        <v>-55.333397144955235</v>
      </c>
      <c r="W11" s="97">
        <f t="shared" si="17"/>
        <v>2.9286015338720223E-6</v>
      </c>
      <c r="X11" s="34">
        <v>-16</v>
      </c>
      <c r="Y11" s="33">
        <f t="shared" si="2"/>
        <v>-55.333397144955235</v>
      </c>
      <c r="Z11" s="97">
        <f t="shared" si="3"/>
        <v>2.9286015338720223E-6</v>
      </c>
    </row>
    <row r="12" spans="2:26" x14ac:dyDescent="0.2">
      <c r="B12" s="13">
        <v>250</v>
      </c>
      <c r="C12" s="33">
        <f>'3º Alta Frec'!H12</f>
        <v>44.664967848034117</v>
      </c>
      <c r="D12" s="33">
        <f>'3º Alta Frec'!R12</f>
        <v>40.67342233098362</v>
      </c>
      <c r="E12" s="34">
        <f t="shared" si="0"/>
        <v>2</v>
      </c>
      <c r="F12" s="112">
        <f t="shared" si="5"/>
        <v>42.22590858928249</v>
      </c>
      <c r="G12" s="100">
        <v>45</v>
      </c>
      <c r="H12" s="18">
        <f t="shared" si="10"/>
        <v>40</v>
      </c>
      <c r="I12" s="18">
        <f t="shared" si="11"/>
        <v>39</v>
      </c>
      <c r="J12" s="18">
        <f t="shared" si="12"/>
        <v>38</v>
      </c>
      <c r="K12" s="79">
        <f t="shared" si="6"/>
        <v>0</v>
      </c>
      <c r="L12" s="33">
        <f t="shared" si="7"/>
        <v>2.2259085892824899</v>
      </c>
      <c r="M12" s="98">
        <f t="shared" si="8"/>
        <v>3.2259085892824899</v>
      </c>
      <c r="N12" s="66">
        <f t="shared" si="9"/>
        <v>4.2259085892824899</v>
      </c>
      <c r="O12" s="99">
        <v>-19</v>
      </c>
      <c r="P12" s="33">
        <f t="shared" si="13"/>
        <v>-61.22590858928249</v>
      </c>
      <c r="Q12" s="97">
        <f t="shared" si="14"/>
        <v>7.5406562096351249E-7</v>
      </c>
      <c r="R12" s="34">
        <v>-20</v>
      </c>
      <c r="S12" s="33">
        <f t="shared" si="15"/>
        <v>-62.22590858928249</v>
      </c>
      <c r="T12" s="97">
        <f t="shared" si="4"/>
        <v>5.9897561356621649E-7</v>
      </c>
      <c r="U12" s="34">
        <v>-15</v>
      </c>
      <c r="V12" s="33">
        <f t="shared" si="16"/>
        <v>-57.22590858928249</v>
      </c>
      <c r="W12" s="97">
        <f t="shared" si="17"/>
        <v>1.8941272017660954E-6</v>
      </c>
      <c r="X12" s="34">
        <v>-15</v>
      </c>
      <c r="Y12" s="33">
        <f t="shared" si="2"/>
        <v>-57.22590858928249</v>
      </c>
      <c r="Z12" s="97">
        <f t="shared" si="3"/>
        <v>1.8941272017660954E-6</v>
      </c>
    </row>
    <row r="13" spans="2:26" x14ac:dyDescent="0.2">
      <c r="B13" s="13">
        <v>315</v>
      </c>
      <c r="C13" s="33">
        <f>'3º Alta Frec'!H13</f>
        <v>41.118595054109917</v>
      </c>
      <c r="D13" s="33">
        <f>'3º Alta Frec'!R13</f>
        <v>39.303733731461435</v>
      </c>
      <c r="E13" s="34">
        <f t="shared" si="0"/>
        <v>2</v>
      </c>
      <c r="F13" s="112">
        <f t="shared" si="5"/>
        <v>40.117045332687944</v>
      </c>
      <c r="G13" s="100">
        <v>48</v>
      </c>
      <c r="H13" s="18">
        <f t="shared" si="10"/>
        <v>43</v>
      </c>
      <c r="I13" s="18">
        <f t="shared" si="11"/>
        <v>42</v>
      </c>
      <c r="J13" s="18">
        <f t="shared" si="12"/>
        <v>41</v>
      </c>
      <c r="K13" s="79">
        <f t="shared" si="6"/>
        <v>0</v>
      </c>
      <c r="L13" s="33">
        <f t="shared" si="7"/>
        <v>0</v>
      </c>
      <c r="M13" s="98">
        <f t="shared" si="8"/>
        <v>0</v>
      </c>
      <c r="N13" s="66">
        <f t="shared" si="9"/>
        <v>0</v>
      </c>
      <c r="O13" s="99">
        <v>-17</v>
      </c>
      <c r="P13" s="33">
        <f t="shared" si="13"/>
        <v>-57.117045332687944</v>
      </c>
      <c r="Q13" s="97">
        <f t="shared" si="14"/>
        <v>1.9422067839123531E-6</v>
      </c>
      <c r="R13" s="34">
        <v>-18</v>
      </c>
      <c r="S13" s="33">
        <f t="shared" si="15"/>
        <v>-58.117045332687944</v>
      </c>
      <c r="T13" s="97">
        <f t="shared" si="4"/>
        <v>1.542749686134625E-6</v>
      </c>
      <c r="U13" s="34">
        <v>-14</v>
      </c>
      <c r="V13" s="33">
        <f t="shared" si="16"/>
        <v>-54.117045332687944</v>
      </c>
      <c r="W13" s="97">
        <f t="shared" si="17"/>
        <v>3.8752120038172269E-6</v>
      </c>
      <c r="X13" s="34">
        <v>-14</v>
      </c>
      <c r="Y13" s="33">
        <f t="shared" si="2"/>
        <v>-54.117045332687944</v>
      </c>
      <c r="Z13" s="97">
        <f t="shared" si="3"/>
        <v>3.8752120038172269E-6</v>
      </c>
    </row>
    <row r="14" spans="2:26" x14ac:dyDescent="0.2">
      <c r="B14" s="13">
        <v>400</v>
      </c>
      <c r="C14" s="33">
        <f>'3º Alta Frec'!H14</f>
        <v>40.820932857828694</v>
      </c>
      <c r="D14" s="33">
        <f>'3º Alta Frec'!R14</f>
        <v>41.22671899595732</v>
      </c>
      <c r="E14" s="34">
        <f t="shared" si="0"/>
        <v>2</v>
      </c>
      <c r="F14" s="112">
        <f t="shared" si="5"/>
        <v>41.019088285325552</v>
      </c>
      <c r="G14" s="100">
        <v>51</v>
      </c>
      <c r="H14" s="18">
        <f t="shared" si="10"/>
        <v>46</v>
      </c>
      <c r="I14" s="18">
        <f t="shared" si="11"/>
        <v>45</v>
      </c>
      <c r="J14" s="18">
        <f t="shared" si="12"/>
        <v>44</v>
      </c>
      <c r="K14" s="79">
        <f t="shared" si="6"/>
        <v>0</v>
      </c>
      <c r="L14" s="33">
        <f t="shared" si="7"/>
        <v>0</v>
      </c>
      <c r="M14" s="98">
        <f t="shared" si="8"/>
        <v>0</v>
      </c>
      <c r="N14" s="66">
        <f t="shared" si="9"/>
        <v>0</v>
      </c>
      <c r="O14" s="99">
        <v>-15</v>
      </c>
      <c r="P14" s="33">
        <f t="shared" si="13"/>
        <v>-56.019088285325552</v>
      </c>
      <c r="Q14" s="97">
        <f t="shared" si="14"/>
        <v>2.5008703144525961E-6</v>
      </c>
      <c r="R14" s="34">
        <v>-16</v>
      </c>
      <c r="S14" s="33">
        <f t="shared" si="15"/>
        <v>-57.019088285325552</v>
      </c>
      <c r="T14" s="97">
        <f t="shared" si="4"/>
        <v>1.986511902153491E-6</v>
      </c>
      <c r="U14" s="34">
        <v>-13</v>
      </c>
      <c r="V14" s="33">
        <f t="shared" si="16"/>
        <v>-54.019088285325552</v>
      </c>
      <c r="W14" s="97">
        <f t="shared" si="17"/>
        <v>3.9636123366040026E-6</v>
      </c>
      <c r="X14" s="34">
        <v>-13</v>
      </c>
      <c r="Y14" s="33">
        <f t="shared" si="2"/>
        <v>-54.019088285325552</v>
      </c>
      <c r="Z14" s="97">
        <f t="shared" si="3"/>
        <v>3.9636123366040026E-6</v>
      </c>
    </row>
    <row r="15" spans="2:26" x14ac:dyDescent="0.2">
      <c r="B15" s="13">
        <v>500</v>
      </c>
      <c r="C15" s="33">
        <f>'3º Alta Frec'!H15</f>
        <v>42.541698650489622</v>
      </c>
      <c r="D15" s="33">
        <f>'3º Alta Frec'!R15</f>
        <v>42.697234256077444</v>
      </c>
      <c r="E15" s="34">
        <f t="shared" si="0"/>
        <v>2</v>
      </c>
      <c r="F15" s="112">
        <f t="shared" si="5"/>
        <v>42.618770208198114</v>
      </c>
      <c r="G15" s="101">
        <v>52</v>
      </c>
      <c r="H15" s="18">
        <f t="shared" si="10"/>
        <v>47</v>
      </c>
      <c r="I15" s="95">
        <f t="shared" si="11"/>
        <v>46</v>
      </c>
      <c r="J15" s="18">
        <f t="shared" si="12"/>
        <v>45</v>
      </c>
      <c r="K15" s="79">
        <f t="shared" si="6"/>
        <v>0</v>
      </c>
      <c r="L15" s="33">
        <f t="shared" si="7"/>
        <v>0</v>
      </c>
      <c r="M15" s="98">
        <f t="shared" si="8"/>
        <v>0</v>
      </c>
      <c r="N15" s="66">
        <f t="shared" si="9"/>
        <v>0</v>
      </c>
      <c r="O15" s="99">
        <v>-13</v>
      </c>
      <c r="P15" s="33">
        <f t="shared" si="13"/>
        <v>-55.618770208198114</v>
      </c>
      <c r="Q15" s="97">
        <f t="shared" si="14"/>
        <v>2.7423506134876073E-6</v>
      </c>
      <c r="R15" s="34">
        <v>-14</v>
      </c>
      <c r="S15" s="33">
        <f t="shared" si="15"/>
        <v>-56.618770208198114</v>
      </c>
      <c r="T15" s="97">
        <f t="shared" si="4"/>
        <v>2.1783265218066599E-6</v>
      </c>
      <c r="U15" s="34">
        <v>-12</v>
      </c>
      <c r="V15" s="33">
        <f t="shared" si="16"/>
        <v>-54.618770208198114</v>
      </c>
      <c r="W15" s="97">
        <f t="shared" si="17"/>
        <v>3.4524148753688761E-6</v>
      </c>
      <c r="X15" s="34">
        <v>-12</v>
      </c>
      <c r="Y15" s="33">
        <f t="shared" si="2"/>
        <v>-54.618770208198114</v>
      </c>
      <c r="Z15" s="97">
        <f t="shared" si="3"/>
        <v>3.4524148753688761E-6</v>
      </c>
    </row>
    <row r="16" spans="2:26" x14ac:dyDescent="0.2">
      <c r="B16" s="13">
        <v>630</v>
      </c>
      <c r="C16" s="33">
        <f>'3º Alta Frec'!H16</f>
        <v>47.265236135044368</v>
      </c>
      <c r="D16" s="33">
        <f>'3º Alta Frec'!R16</f>
        <v>48.089875784494701</v>
      </c>
      <c r="E16" s="34">
        <f t="shared" si="0"/>
        <v>2</v>
      </c>
      <c r="F16" s="112">
        <f t="shared" si="5"/>
        <v>47.658012440402366</v>
      </c>
      <c r="G16" s="13">
        <v>53</v>
      </c>
      <c r="H16" s="18">
        <f t="shared" si="10"/>
        <v>48</v>
      </c>
      <c r="I16" s="18">
        <f t="shared" si="11"/>
        <v>47</v>
      </c>
      <c r="J16" s="18">
        <f t="shared" si="12"/>
        <v>46</v>
      </c>
      <c r="K16" s="79">
        <f t="shared" si="6"/>
        <v>0</v>
      </c>
      <c r="L16" s="33">
        <f t="shared" si="7"/>
        <v>0</v>
      </c>
      <c r="M16" s="98">
        <f t="shared" si="8"/>
        <v>0.65801244040236639</v>
      </c>
      <c r="N16" s="66">
        <f t="shared" si="9"/>
        <v>1.6580124404023664</v>
      </c>
      <c r="O16" s="99">
        <v>-12</v>
      </c>
      <c r="P16" s="33">
        <f t="shared" si="13"/>
        <v>-59.658012440402366</v>
      </c>
      <c r="Q16" s="97">
        <f t="shared" si="14"/>
        <v>1.0819289855284376E-6</v>
      </c>
      <c r="R16" s="34">
        <v>-13</v>
      </c>
      <c r="S16" s="33">
        <f t="shared" si="15"/>
        <v>-60.658012440402366</v>
      </c>
      <c r="T16" s="97">
        <f t="shared" si="4"/>
        <v>8.5940674117183734E-7</v>
      </c>
      <c r="U16" s="34">
        <v>-11</v>
      </c>
      <c r="V16" s="33">
        <f t="shared" si="16"/>
        <v>-58.658012440402366</v>
      </c>
      <c r="W16" s="97">
        <f t="shared" si="17"/>
        <v>1.3620678936384375E-6</v>
      </c>
      <c r="X16" s="34">
        <v>-11</v>
      </c>
      <c r="Y16" s="33">
        <f t="shared" si="2"/>
        <v>-58.658012440402366</v>
      </c>
      <c r="Z16" s="97">
        <f t="shared" si="3"/>
        <v>1.3620678936384375E-6</v>
      </c>
    </row>
    <row r="17" spans="2:26" x14ac:dyDescent="0.2">
      <c r="B17" s="13">
        <v>800</v>
      </c>
      <c r="C17" s="33">
        <f>'3º Alta Frec'!H17</f>
        <v>50.227908414805519</v>
      </c>
      <c r="D17" s="33">
        <f>'3º Alta Frec'!R17</f>
        <v>49.47119592587925</v>
      </c>
      <c r="E17" s="34">
        <f t="shared" si="0"/>
        <v>2</v>
      </c>
      <c r="F17" s="112">
        <f t="shared" si="5"/>
        <v>49.833091826748557</v>
      </c>
      <c r="G17" s="13">
        <v>54</v>
      </c>
      <c r="H17" s="18">
        <f t="shared" si="10"/>
        <v>49</v>
      </c>
      <c r="I17" s="18">
        <f t="shared" si="11"/>
        <v>48</v>
      </c>
      <c r="J17" s="18">
        <f t="shared" si="12"/>
        <v>47</v>
      </c>
      <c r="K17" s="79">
        <f t="shared" si="6"/>
        <v>0</v>
      </c>
      <c r="L17" s="33">
        <f t="shared" si="7"/>
        <v>0.8330918267485572</v>
      </c>
      <c r="M17" s="98">
        <f t="shared" si="8"/>
        <v>1.8330918267485572</v>
      </c>
      <c r="N17" s="66">
        <f t="shared" si="9"/>
        <v>2.8330918267485572</v>
      </c>
      <c r="O17" s="99">
        <v>-11</v>
      </c>
      <c r="P17" s="33">
        <f t="shared" si="13"/>
        <v>-60.833091826748557</v>
      </c>
      <c r="Q17" s="97">
        <f t="shared" si="14"/>
        <v>8.254500864011913E-7</v>
      </c>
      <c r="R17" s="34">
        <v>-12</v>
      </c>
      <c r="S17" s="33">
        <f t="shared" si="15"/>
        <v>-61.833091826748557</v>
      </c>
      <c r="T17" s="97">
        <f t="shared" si="4"/>
        <v>6.5567830998406341E-7</v>
      </c>
      <c r="U17" s="34">
        <v>-9</v>
      </c>
      <c r="V17" s="33">
        <f t="shared" si="16"/>
        <v>-58.833091826748557</v>
      </c>
      <c r="W17" s="97">
        <f t="shared" si="17"/>
        <v>1.308250222653688E-6</v>
      </c>
      <c r="X17" s="34">
        <v>-9</v>
      </c>
      <c r="Y17" s="33">
        <f t="shared" si="2"/>
        <v>-58.833091826748557</v>
      </c>
      <c r="Z17" s="97">
        <f t="shared" si="3"/>
        <v>1.308250222653688E-6</v>
      </c>
    </row>
    <row r="18" spans="2:26" x14ac:dyDescent="0.2">
      <c r="B18" s="13">
        <v>1000</v>
      </c>
      <c r="C18" s="33">
        <f>'3º Alta Frec'!H18</f>
        <v>52.378241936338526</v>
      </c>
      <c r="D18" s="33">
        <f>'3º Alta Frec'!R18</f>
        <v>51.075368119574904</v>
      </c>
      <c r="E18" s="34">
        <f t="shared" si="0"/>
        <v>2</v>
      </c>
      <c r="F18" s="112">
        <f t="shared" si="5"/>
        <v>51.678129741673935</v>
      </c>
      <c r="G18" s="13">
        <v>55</v>
      </c>
      <c r="H18" s="18">
        <f t="shared" si="10"/>
        <v>50</v>
      </c>
      <c r="I18" s="18">
        <f t="shared" si="11"/>
        <v>49</v>
      </c>
      <c r="J18" s="18">
        <f t="shared" si="12"/>
        <v>48</v>
      </c>
      <c r="K18" s="79">
        <f t="shared" si="6"/>
        <v>0</v>
      </c>
      <c r="L18" s="33">
        <f t="shared" si="7"/>
        <v>1.6781297416739349</v>
      </c>
      <c r="M18" s="98">
        <f t="shared" si="8"/>
        <v>2.6781297416739349</v>
      </c>
      <c r="N18" s="66">
        <f t="shared" si="9"/>
        <v>3.6781297416739349</v>
      </c>
      <c r="O18" s="99">
        <v>-10</v>
      </c>
      <c r="P18" s="33">
        <f t="shared" si="13"/>
        <v>-61.678129741673935</v>
      </c>
      <c r="Q18" s="97">
        <f t="shared" si="14"/>
        <v>6.794961898245805E-7</v>
      </c>
      <c r="R18" s="34">
        <v>-11</v>
      </c>
      <c r="S18" s="33">
        <f t="shared" si="15"/>
        <v>-62.678129741673935</v>
      </c>
      <c r="T18" s="97">
        <f t="shared" si="4"/>
        <v>5.3974300896523475E-7</v>
      </c>
      <c r="U18" s="34">
        <v>-8</v>
      </c>
      <c r="V18" s="33">
        <f t="shared" si="16"/>
        <v>-59.678129741673935</v>
      </c>
      <c r="W18" s="97">
        <f t="shared" si="17"/>
        <v>1.0769288855562437E-6</v>
      </c>
      <c r="X18" s="34">
        <v>-8</v>
      </c>
      <c r="Y18" s="33">
        <f t="shared" si="2"/>
        <v>-59.678129741673935</v>
      </c>
      <c r="Z18" s="97">
        <f t="shared" si="3"/>
        <v>1.0769288855562437E-6</v>
      </c>
    </row>
    <row r="19" spans="2:26" x14ac:dyDescent="0.2">
      <c r="B19" s="13">
        <v>1250</v>
      </c>
      <c r="C19" s="33">
        <f>'3º Alta Frec'!H19</f>
        <v>50.760382130664588</v>
      </c>
      <c r="D19" s="33">
        <f>'3º Alta Frec'!R19</f>
        <v>49.618343680816778</v>
      </c>
      <c r="E19" s="34">
        <f t="shared" si="0"/>
        <v>2</v>
      </c>
      <c r="F19" s="112">
        <f t="shared" si="5"/>
        <v>50.151931185230943</v>
      </c>
      <c r="G19" s="13">
        <v>56</v>
      </c>
      <c r="H19" s="18">
        <f t="shared" si="10"/>
        <v>51</v>
      </c>
      <c r="I19" s="18">
        <f t="shared" si="11"/>
        <v>50</v>
      </c>
      <c r="J19" s="18">
        <f t="shared" si="12"/>
        <v>49</v>
      </c>
      <c r="K19" s="79">
        <f t="shared" si="6"/>
        <v>0</v>
      </c>
      <c r="L19" s="33">
        <f t="shared" si="7"/>
        <v>0</v>
      </c>
      <c r="M19" s="98">
        <f t="shared" si="8"/>
        <v>0.15193118523094284</v>
      </c>
      <c r="N19" s="66">
        <f t="shared" si="9"/>
        <v>1.1519311852309428</v>
      </c>
      <c r="O19" s="99">
        <v>-9</v>
      </c>
      <c r="P19" s="33">
        <f t="shared" si="13"/>
        <v>-59.151931185230943</v>
      </c>
      <c r="Q19" s="97">
        <f t="shared" si="14"/>
        <v>1.2156453172111065E-6</v>
      </c>
      <c r="R19" s="34">
        <v>-10</v>
      </c>
      <c r="S19" s="33">
        <f t="shared" si="15"/>
        <v>-60.151931185230943</v>
      </c>
      <c r="T19" s="97">
        <f t="shared" si="4"/>
        <v>9.6562139887113678E-7</v>
      </c>
      <c r="U19" s="34">
        <v>-9</v>
      </c>
      <c r="V19" s="33">
        <f t="shared" si="16"/>
        <v>-59.151931185230943</v>
      </c>
      <c r="W19" s="97">
        <f t="shared" si="17"/>
        <v>1.2156453172111065E-6</v>
      </c>
      <c r="X19" s="34">
        <v>-9</v>
      </c>
      <c r="Y19" s="33">
        <f t="shared" si="2"/>
        <v>-59.151931185230943</v>
      </c>
      <c r="Z19" s="97">
        <f t="shared" si="3"/>
        <v>1.2156453172111065E-6</v>
      </c>
    </row>
    <row r="20" spans="2:26" x14ac:dyDescent="0.2">
      <c r="B20" s="13">
        <v>1600</v>
      </c>
      <c r="C20" s="33">
        <f>'3º Alta Frec'!H20</f>
        <v>51.890913327831477</v>
      </c>
      <c r="D20" s="33">
        <f>'3º Alta Frec'!R20</f>
        <v>50.434317104033802</v>
      </c>
      <c r="E20" s="34">
        <f t="shared" si="0"/>
        <v>2</v>
      </c>
      <c r="F20" s="112">
        <f t="shared" si="5"/>
        <v>51.101832664252655</v>
      </c>
      <c r="G20" s="13">
        <v>56</v>
      </c>
      <c r="H20" s="18">
        <f t="shared" si="10"/>
        <v>51</v>
      </c>
      <c r="I20" s="18">
        <f t="shared" si="11"/>
        <v>50</v>
      </c>
      <c r="J20" s="18">
        <f t="shared" si="12"/>
        <v>49</v>
      </c>
      <c r="K20" s="79">
        <f t="shared" si="6"/>
        <v>0</v>
      </c>
      <c r="L20" s="33">
        <f t="shared" si="7"/>
        <v>0.10183266425265458</v>
      </c>
      <c r="M20" s="98">
        <f t="shared" si="8"/>
        <v>1.1018326642526546</v>
      </c>
      <c r="N20" s="66">
        <f t="shared" si="9"/>
        <v>2.1018326642526546</v>
      </c>
      <c r="O20" s="99">
        <v>-9</v>
      </c>
      <c r="P20" s="33">
        <f t="shared" si="13"/>
        <v>-60.101832664252655</v>
      </c>
      <c r="Q20" s="97">
        <f t="shared" si="14"/>
        <v>9.7682492700065858E-7</v>
      </c>
      <c r="R20" s="34">
        <v>-10</v>
      </c>
      <c r="S20" s="33">
        <f t="shared" si="15"/>
        <v>-61.101832664252655</v>
      </c>
      <c r="T20" s="97">
        <f t="shared" si="4"/>
        <v>7.7591961989910903E-7</v>
      </c>
      <c r="U20" s="34">
        <v>-10</v>
      </c>
      <c r="V20" s="33">
        <f t="shared" si="16"/>
        <v>-61.101832664252655</v>
      </c>
      <c r="W20" s="97">
        <f t="shared" si="17"/>
        <v>7.7591961989910903E-7</v>
      </c>
      <c r="X20" s="34">
        <v>-10</v>
      </c>
      <c r="Y20" s="33">
        <f t="shared" si="2"/>
        <v>-61.101832664252655</v>
      </c>
      <c r="Z20" s="97">
        <f t="shared" si="3"/>
        <v>7.7591961989910903E-7</v>
      </c>
    </row>
    <row r="21" spans="2:26" x14ac:dyDescent="0.2">
      <c r="B21" s="13">
        <v>2000</v>
      </c>
      <c r="C21" s="33">
        <f>'3º Alta Frec'!H21</f>
        <v>51.214360820570683</v>
      </c>
      <c r="D21" s="33">
        <f>'3º Alta Frec'!R21</f>
        <v>49.666199383787593</v>
      </c>
      <c r="E21" s="34">
        <f t="shared" si="0"/>
        <v>2</v>
      </c>
      <c r="F21" s="112">
        <f t="shared" si="5"/>
        <v>50.37165674484207</v>
      </c>
      <c r="G21" s="13">
        <v>56</v>
      </c>
      <c r="H21" s="18">
        <f t="shared" si="10"/>
        <v>51</v>
      </c>
      <c r="I21" s="18">
        <f t="shared" si="11"/>
        <v>50</v>
      </c>
      <c r="J21" s="18">
        <f t="shared" si="12"/>
        <v>49</v>
      </c>
      <c r="K21" s="79">
        <f t="shared" si="6"/>
        <v>0</v>
      </c>
      <c r="L21" s="33">
        <f t="shared" si="7"/>
        <v>0</v>
      </c>
      <c r="M21" s="98">
        <f t="shared" si="8"/>
        <v>0.37165674484207045</v>
      </c>
      <c r="N21" s="66">
        <f t="shared" si="9"/>
        <v>1.3716567448420705</v>
      </c>
      <c r="O21" s="99">
        <v>-9</v>
      </c>
      <c r="P21" s="33">
        <f t="shared" si="13"/>
        <v>-59.37165674484207</v>
      </c>
      <c r="Q21" s="97">
        <f t="shared" si="14"/>
        <v>1.1556712930710307E-6</v>
      </c>
      <c r="R21" s="34">
        <v>-10</v>
      </c>
      <c r="S21" s="33">
        <f t="shared" si="15"/>
        <v>-60.37165674484207</v>
      </c>
      <c r="T21" s="97">
        <f t="shared" si="4"/>
        <v>9.179823381466406E-7</v>
      </c>
      <c r="U21" s="34">
        <v>-11</v>
      </c>
      <c r="V21" s="33">
        <f t="shared" si="16"/>
        <v>-61.37165674484207</v>
      </c>
      <c r="W21" s="97">
        <f t="shared" si="17"/>
        <v>7.2917929016809018E-7</v>
      </c>
      <c r="X21" s="34">
        <v>-11</v>
      </c>
      <c r="Y21" s="33">
        <f t="shared" si="2"/>
        <v>-61.37165674484207</v>
      </c>
      <c r="Z21" s="97">
        <f t="shared" si="3"/>
        <v>7.2917929016809018E-7</v>
      </c>
    </row>
    <row r="22" spans="2:26" x14ac:dyDescent="0.2">
      <c r="B22" s="13">
        <v>2500</v>
      </c>
      <c r="C22" s="33">
        <f>'3º Alta Frec'!H22</f>
        <v>46.628162258463888</v>
      </c>
      <c r="D22" s="33">
        <f>'3º Alta Frec'!R22</f>
        <v>44.991619436750305</v>
      </c>
      <c r="E22" s="34">
        <f t="shared" si="0"/>
        <v>2</v>
      </c>
      <c r="F22" s="112">
        <f t="shared" si="5"/>
        <v>45.733255794451793</v>
      </c>
      <c r="G22" s="13">
        <v>56</v>
      </c>
      <c r="H22" s="18">
        <f t="shared" si="10"/>
        <v>51</v>
      </c>
      <c r="I22" s="18">
        <f t="shared" si="11"/>
        <v>50</v>
      </c>
      <c r="J22" s="18">
        <f t="shared" si="12"/>
        <v>49</v>
      </c>
      <c r="K22" s="79">
        <f t="shared" si="6"/>
        <v>0</v>
      </c>
      <c r="L22" s="33">
        <f t="shared" si="7"/>
        <v>0</v>
      </c>
      <c r="M22" s="98">
        <f t="shared" si="8"/>
        <v>0</v>
      </c>
      <c r="N22" s="66">
        <f t="shared" si="9"/>
        <v>0</v>
      </c>
      <c r="O22" s="99">
        <v>-9</v>
      </c>
      <c r="P22" s="33">
        <f t="shared" si="13"/>
        <v>-54.733255794451793</v>
      </c>
      <c r="Q22" s="97">
        <f t="shared" si="14"/>
        <v>3.3625938981243613E-6</v>
      </c>
      <c r="R22" s="34">
        <v>-10</v>
      </c>
      <c r="S22" s="33">
        <f t="shared" si="15"/>
        <v>-55.733255794451793</v>
      </c>
      <c r="T22" s="97">
        <f t="shared" si="4"/>
        <v>2.6710032751917624E-6</v>
      </c>
      <c r="U22" s="34">
        <v>-13</v>
      </c>
      <c r="V22" s="33">
        <f t="shared" si="16"/>
        <v>-58.733255794451793</v>
      </c>
      <c r="W22" s="97">
        <f t="shared" si="17"/>
        <v>1.3386727425027446E-6</v>
      </c>
      <c r="X22" s="34">
        <v>-13</v>
      </c>
      <c r="Y22" s="33">
        <f t="shared" si="2"/>
        <v>-58.733255794451793</v>
      </c>
      <c r="Z22" s="97">
        <f t="shared" si="3"/>
        <v>1.3386727425027446E-6</v>
      </c>
    </row>
    <row r="23" spans="2:26" x14ac:dyDescent="0.2">
      <c r="B23" s="13">
        <v>3150</v>
      </c>
      <c r="C23" s="33">
        <f>'3º Alta Frec'!H23</f>
        <v>42.404705309151787</v>
      </c>
      <c r="D23" s="33">
        <f>'3º Alta Frec'!R23</f>
        <v>40.609525099021475</v>
      </c>
      <c r="E23" s="34">
        <f t="shared" si="0"/>
        <v>2</v>
      </c>
      <c r="F23" s="112">
        <f t="shared" si="5"/>
        <v>41.415012178196434</v>
      </c>
      <c r="G23" s="13">
        <v>56</v>
      </c>
      <c r="H23" s="18">
        <f t="shared" si="10"/>
        <v>51</v>
      </c>
      <c r="I23" s="18">
        <f t="shared" si="11"/>
        <v>50</v>
      </c>
      <c r="J23" s="18">
        <f t="shared" si="12"/>
        <v>49</v>
      </c>
      <c r="K23" s="79">
        <f t="shared" si="6"/>
        <v>0</v>
      </c>
      <c r="L23" s="33">
        <f t="shared" si="7"/>
        <v>0</v>
      </c>
      <c r="M23" s="98">
        <f t="shared" si="8"/>
        <v>0</v>
      </c>
      <c r="N23" s="66">
        <f t="shared" si="9"/>
        <v>0</v>
      </c>
      <c r="O23" s="99">
        <v>-9</v>
      </c>
      <c r="P23" s="33">
        <f t="shared" si="13"/>
        <v>-50.415012178196434</v>
      </c>
      <c r="Q23" s="97">
        <f t="shared" si="14"/>
        <v>9.0886375048685376E-6</v>
      </c>
      <c r="R23" s="34">
        <v>-10</v>
      </c>
      <c r="S23" s="33">
        <f t="shared" si="15"/>
        <v>-51.415012178196434</v>
      </c>
      <c r="T23" s="97">
        <f t="shared" si="4"/>
        <v>7.2193613852911293E-6</v>
      </c>
      <c r="U23" s="34">
        <v>-15</v>
      </c>
      <c r="V23" s="33">
        <f t="shared" si="16"/>
        <v>-56.415012178196434</v>
      </c>
      <c r="W23" s="97">
        <f t="shared" si="17"/>
        <v>2.2829625229388371E-6</v>
      </c>
      <c r="X23" s="34">
        <v>-15</v>
      </c>
      <c r="Y23" s="33">
        <f t="shared" si="2"/>
        <v>-56.415012178196434</v>
      </c>
      <c r="Z23" s="97">
        <f t="shared" si="3"/>
        <v>2.2829625229388371E-6</v>
      </c>
    </row>
    <row r="24" spans="2:26" x14ac:dyDescent="0.2">
      <c r="B24" s="13">
        <v>4000</v>
      </c>
      <c r="C24" s="33">
        <f>'3º Alta Frec'!H24</f>
        <v>43.579631039541503</v>
      </c>
      <c r="D24" s="33">
        <f>'3º Alta Frec'!R24</f>
        <v>42.535711524702556</v>
      </c>
      <c r="E24" s="34">
        <f t="shared" si="0"/>
        <v>2</v>
      </c>
      <c r="F24" s="112">
        <f t="shared" si="5"/>
        <v>43.026380461112993</v>
      </c>
      <c r="G24" s="13"/>
      <c r="H24" s="18"/>
      <c r="I24" s="18"/>
      <c r="J24" s="18"/>
      <c r="K24" s="13"/>
      <c r="L24" s="18"/>
      <c r="M24" s="95"/>
      <c r="N24" s="96"/>
      <c r="O24" s="99"/>
      <c r="P24" s="18"/>
      <c r="Q24" s="97"/>
      <c r="R24" s="34">
        <v>-10</v>
      </c>
      <c r="S24" s="33">
        <f t="shared" si="15"/>
        <v>-53.026380461112993</v>
      </c>
      <c r="T24" s="97">
        <f t="shared" si="4"/>
        <v>4.981520867261009E-6</v>
      </c>
      <c r="U24" s="18"/>
      <c r="V24" s="18"/>
      <c r="W24" s="97"/>
      <c r="X24" s="34">
        <v>-16</v>
      </c>
      <c r="Y24" s="33">
        <f t="shared" si="2"/>
        <v>-59.026380461112993</v>
      </c>
      <c r="Z24" s="97">
        <f t="shared" si="3"/>
        <v>1.251301467475477E-6</v>
      </c>
    </row>
    <row r="25" spans="2:26" x14ac:dyDescent="0.2">
      <c r="B25" s="15">
        <v>5000</v>
      </c>
      <c r="C25" s="23">
        <f>'3º Alta Frec'!H25</f>
        <v>48.64059499547006</v>
      </c>
      <c r="D25" s="23">
        <f>'3º Alta Frec'!R25</f>
        <v>48.006119233881819</v>
      </c>
      <c r="E25" s="24">
        <f t="shared" si="0"/>
        <v>2</v>
      </c>
      <c r="F25" s="113">
        <f t="shared" si="5"/>
        <v>48.31178081047355</v>
      </c>
      <c r="G25" s="15"/>
      <c r="H25" s="16"/>
      <c r="I25" s="16"/>
      <c r="J25" s="16"/>
      <c r="K25" s="13"/>
      <c r="L25" s="18"/>
      <c r="M25" s="95"/>
      <c r="N25" s="96"/>
      <c r="O25" s="13"/>
      <c r="P25" s="18"/>
      <c r="Q25" s="97"/>
      <c r="R25" s="34">
        <v>-10</v>
      </c>
      <c r="S25" s="33">
        <f t="shared" si="15"/>
        <v>-58.31178081047355</v>
      </c>
      <c r="T25" s="97">
        <f t="shared" si="4"/>
        <v>1.4751015486303322E-6</v>
      </c>
      <c r="U25" s="18"/>
      <c r="V25" s="18"/>
      <c r="W25" s="97"/>
      <c r="X25" s="34">
        <v>-18</v>
      </c>
      <c r="Y25" s="33">
        <f t="shared" si="2"/>
        <v>-66.31178081047355</v>
      </c>
      <c r="Z25" s="97">
        <f t="shared" si="3"/>
        <v>2.3378784026130612E-7</v>
      </c>
    </row>
    <row r="26" spans="2:26" x14ac:dyDescent="0.2">
      <c r="K26" s="80">
        <f>SUM(K8:K23)</f>
        <v>4.7153187105132872</v>
      </c>
      <c r="L26" s="23">
        <f t="shared" ref="L26:N26" si="18">SUM(L8:L23)</f>
        <v>22.617568678587517</v>
      </c>
      <c r="M26" s="102">
        <f t="shared" si="18"/>
        <v>31.799169049062897</v>
      </c>
      <c r="N26" s="59">
        <f t="shared" si="18"/>
        <v>42.799169049062897</v>
      </c>
      <c r="O26" s="79" t="s">
        <v>131</v>
      </c>
      <c r="P26" s="33">
        <f>52-6</f>
        <v>46</v>
      </c>
      <c r="Q26" s="103">
        <f>-10*LOG10(SUM(Q5:Q25))</f>
        <v>45.294723315502338</v>
      </c>
      <c r="R26" s="34"/>
      <c r="S26" s="33"/>
      <c r="T26" s="103">
        <f>-10*LOG10(SUM(T5:T25))</f>
        <v>45.187570733187812</v>
      </c>
      <c r="U26" s="33"/>
      <c r="V26" s="33"/>
      <c r="W26" s="104">
        <f>-10*LOG10(SUM(W5:W25))</f>
        <v>44.50340013262111</v>
      </c>
      <c r="X26" s="34"/>
      <c r="Y26" s="33"/>
      <c r="Z26" s="103">
        <f>-10*LOG10(SUM(Z5:Z25))</f>
        <v>43.210580141288197</v>
      </c>
    </row>
    <row r="27" spans="2:26" x14ac:dyDescent="0.2">
      <c r="O27" s="15"/>
      <c r="P27" s="16"/>
      <c r="Q27" s="114">
        <f>ROUND(Q26,0)-P26</f>
        <v>-1</v>
      </c>
      <c r="R27" s="16"/>
      <c r="S27" s="16"/>
      <c r="T27" s="114">
        <f>ROUND(T26,0)-P26</f>
        <v>-1</v>
      </c>
      <c r="U27" s="16"/>
      <c r="V27" s="16"/>
      <c r="W27" s="114">
        <f>ROUND(W26,0)-P26</f>
        <v>-1</v>
      </c>
      <c r="X27" s="16"/>
      <c r="Y27" s="16"/>
      <c r="Z27" s="114">
        <f>ROUND(Z26,0)-P26</f>
        <v>-3</v>
      </c>
    </row>
    <row r="28" spans="2:26" x14ac:dyDescent="0.2">
      <c r="O28" s="18"/>
      <c r="P28" s="18"/>
      <c r="Q28" s="34"/>
      <c r="R28" s="18"/>
      <c r="S28" s="18"/>
      <c r="T28" s="34"/>
      <c r="U28" s="18"/>
      <c r="V28" s="18"/>
      <c r="W28" s="34"/>
      <c r="X28" s="18"/>
      <c r="Y28" s="18"/>
      <c r="Z28" s="34"/>
    </row>
    <row r="29" spans="2:26" x14ac:dyDescent="0.2">
      <c r="E29" s="2" t="s">
        <v>93</v>
      </c>
      <c r="O29" s="18"/>
      <c r="P29" s="18"/>
      <c r="Q29" s="34"/>
      <c r="R29" s="18"/>
      <c r="S29" s="18"/>
      <c r="T29" s="34"/>
      <c r="U29" s="18"/>
      <c r="V29" s="18"/>
      <c r="W29" s="34"/>
      <c r="X29" s="18"/>
      <c r="Y29" s="18"/>
      <c r="Z29" s="34"/>
    </row>
    <row r="30" spans="2:26" x14ac:dyDescent="0.2">
      <c r="O30" s="18"/>
      <c r="P30" s="18"/>
      <c r="Q30" s="34"/>
      <c r="R30" s="18"/>
      <c r="S30" s="18"/>
      <c r="T30" s="34"/>
      <c r="U30" s="18"/>
      <c r="V30" s="18"/>
      <c r="W30" s="34"/>
      <c r="X30" s="18"/>
      <c r="Y30" s="18"/>
      <c r="Z30" s="34"/>
    </row>
    <row r="31" spans="2:26" x14ac:dyDescent="0.2">
      <c r="F31" s="172" t="s">
        <v>43</v>
      </c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4"/>
    </row>
    <row r="32" spans="2:26" x14ac:dyDescent="0.2">
      <c r="B32" s="43" t="s">
        <v>43</v>
      </c>
      <c r="C32" s="44"/>
      <c r="D32" s="44"/>
      <c r="E32" s="44"/>
      <c r="F32" s="184"/>
      <c r="G32" s="162" t="s">
        <v>96</v>
      </c>
      <c r="H32" s="163"/>
      <c r="I32" s="163"/>
      <c r="J32" s="163"/>
      <c r="K32" s="186" t="s">
        <v>95</v>
      </c>
      <c r="L32" s="187"/>
      <c r="M32" s="187"/>
      <c r="N32" s="188"/>
      <c r="O32" s="189" t="s">
        <v>99</v>
      </c>
      <c r="P32" s="190"/>
      <c r="Q32" s="191"/>
      <c r="R32" s="192" t="s">
        <v>97</v>
      </c>
      <c r="S32" s="192"/>
      <c r="T32" s="193"/>
      <c r="U32" s="190" t="s">
        <v>100</v>
      </c>
      <c r="V32" s="190"/>
      <c r="W32" s="191"/>
      <c r="X32" s="192" t="s">
        <v>98</v>
      </c>
      <c r="Y32" s="192"/>
      <c r="Z32" s="193"/>
    </row>
    <row r="33" spans="2:26" ht="31" customHeight="1" x14ac:dyDescent="0.2">
      <c r="B33" s="28"/>
      <c r="C33" s="29"/>
      <c r="D33" s="29"/>
      <c r="E33" s="29"/>
      <c r="F33" s="185"/>
      <c r="G33" s="15" t="s">
        <v>94</v>
      </c>
      <c r="H33" s="16" t="s">
        <v>120</v>
      </c>
      <c r="I33" s="107" t="s">
        <v>121</v>
      </c>
      <c r="J33" s="16" t="s">
        <v>122</v>
      </c>
      <c r="K33" s="15" t="s">
        <v>94</v>
      </c>
      <c r="L33" s="16" t="s">
        <v>120</v>
      </c>
      <c r="M33" s="107" t="s">
        <v>121</v>
      </c>
      <c r="N33" s="16" t="s">
        <v>122</v>
      </c>
      <c r="O33" s="91" t="s">
        <v>126</v>
      </c>
      <c r="P33" s="75"/>
      <c r="Q33" s="92"/>
      <c r="R33" s="88" t="s">
        <v>126</v>
      </c>
      <c r="S33" s="88"/>
      <c r="T33" s="92"/>
      <c r="U33" s="88" t="s">
        <v>126</v>
      </c>
      <c r="V33" s="75"/>
      <c r="W33" s="92"/>
      <c r="X33" s="88" t="s">
        <v>126</v>
      </c>
      <c r="Y33" s="88"/>
      <c r="Z33" s="92"/>
    </row>
    <row r="34" spans="2:26" x14ac:dyDescent="0.2">
      <c r="B34" s="13">
        <v>50</v>
      </c>
      <c r="C34" s="33">
        <f>'3º Alta Frec'!H31</f>
        <v>13.072295537469916</v>
      </c>
      <c r="D34" s="33">
        <f>'3º Alta Frec'!R31</f>
        <v>21.506907111020713</v>
      </c>
      <c r="E34" s="34">
        <f t="shared" ref="E34:E54" si="19">COUNT(C34:D34)</f>
        <v>2</v>
      </c>
      <c r="F34" s="111">
        <f>-10*LOG10((10^(-C34/10)+10^(-D34/10))/E34)</f>
        <v>15.500626543876709</v>
      </c>
      <c r="G34" s="13"/>
      <c r="H34" s="18"/>
      <c r="I34" s="18"/>
      <c r="J34" s="18"/>
      <c r="K34" s="13"/>
      <c r="L34" s="18"/>
      <c r="M34" s="95"/>
      <c r="N34" s="96"/>
      <c r="O34" s="13"/>
      <c r="P34" s="18"/>
      <c r="Q34" s="97"/>
      <c r="R34" s="34">
        <v>-41</v>
      </c>
      <c r="S34" s="33">
        <f>R34-F34</f>
        <v>-56.500626543876706</v>
      </c>
      <c r="T34" s="97">
        <f>10^(S34/10)</f>
        <v>2.2383981881497345E-6</v>
      </c>
      <c r="U34" s="18"/>
      <c r="V34" s="18"/>
      <c r="W34" s="97"/>
      <c r="X34" s="34">
        <v>-25</v>
      </c>
      <c r="Y34" s="33">
        <f t="shared" ref="Y34:Y36" si="20">X34-F34</f>
        <v>-40.500626543876706</v>
      </c>
      <c r="Z34" s="97">
        <f t="shared" ref="Z34:Z54" si="21">10^(Y34/10)</f>
        <v>8.9112236925636455E-5</v>
      </c>
    </row>
    <row r="35" spans="2:26" x14ac:dyDescent="0.2">
      <c r="B35" s="13">
        <v>63</v>
      </c>
      <c r="C35" s="33">
        <f>'3º Alta Frec'!H32</f>
        <v>9.935583298234242</v>
      </c>
      <c r="D35" s="33">
        <f>'3º Alta Frec'!R32</f>
        <v>32.517054577303959</v>
      </c>
      <c r="E35" s="34">
        <f t="shared" si="19"/>
        <v>2</v>
      </c>
      <c r="F35" s="112">
        <f>-10*LOG10((10^(-C35/10)+10^(-D35/10))/E35)</f>
        <v>12.921980854581028</v>
      </c>
      <c r="G35" s="13"/>
      <c r="H35" s="18"/>
      <c r="I35" s="18"/>
      <c r="J35" s="18"/>
      <c r="K35" s="13"/>
      <c r="L35" s="18"/>
      <c r="M35" s="95"/>
      <c r="N35" s="96"/>
      <c r="O35" s="13"/>
      <c r="P35" s="18"/>
      <c r="Q35" s="97"/>
      <c r="R35" s="34">
        <v>-37</v>
      </c>
      <c r="S35" s="33">
        <f t="shared" ref="S35:S36" si="22">R35-F35</f>
        <v>-49.92198085458103</v>
      </c>
      <c r="T35" s="97">
        <f t="shared" ref="T35:T54" si="23">10^(S35/10)</f>
        <v>1.0181269056740063E-5</v>
      </c>
      <c r="U35" s="18"/>
      <c r="V35" s="18"/>
      <c r="W35" s="97"/>
      <c r="X35" s="34">
        <v>-23</v>
      </c>
      <c r="Y35" s="33">
        <f>X35-F35</f>
        <v>-35.92198085458103</v>
      </c>
      <c r="Z35" s="97">
        <f t="shared" si="21"/>
        <v>2.5574191599173724E-4</v>
      </c>
    </row>
    <row r="36" spans="2:26" x14ac:dyDescent="0.2">
      <c r="B36" s="13">
        <v>80</v>
      </c>
      <c r="C36" s="33">
        <f>'3º Alta Frec'!H33</f>
        <v>8.7116922393759957</v>
      </c>
      <c r="D36" s="33">
        <f>'3º Alta Frec'!R33</f>
        <v>17.187800656621281</v>
      </c>
      <c r="E36" s="34">
        <f t="shared" si="19"/>
        <v>2</v>
      </c>
      <c r="F36" s="112">
        <f>-10*LOG10((10^(-C36/10)+10^(-D36/10))/E36)</f>
        <v>11.145205788898604</v>
      </c>
      <c r="G36" s="13"/>
      <c r="H36" s="18"/>
      <c r="I36" s="18"/>
      <c r="J36" s="18"/>
      <c r="K36" s="13"/>
      <c r="L36" s="18"/>
      <c r="M36" s="95"/>
      <c r="N36" s="96"/>
      <c r="O36" s="13"/>
      <c r="P36" s="18"/>
      <c r="Q36" s="97"/>
      <c r="R36" s="34">
        <v>-34</v>
      </c>
      <c r="S36" s="33">
        <f t="shared" si="22"/>
        <v>-45.145205788898608</v>
      </c>
      <c r="T36" s="97">
        <f t="shared" si="23"/>
        <v>3.0582953268386516E-5</v>
      </c>
      <c r="U36" s="18"/>
      <c r="V36" s="18"/>
      <c r="W36" s="97"/>
      <c r="X36" s="34">
        <v>-21</v>
      </c>
      <c r="Y36" s="33">
        <f t="shared" si="20"/>
        <v>-32.145205788898608</v>
      </c>
      <c r="Z36" s="97">
        <f t="shared" si="21"/>
        <v>6.1021014136865943E-4</v>
      </c>
    </row>
    <row r="37" spans="2:26" x14ac:dyDescent="0.2">
      <c r="B37" s="13">
        <v>100</v>
      </c>
      <c r="C37" s="33">
        <f>'3º Alta Frec'!H34</f>
        <v>20.04919563799481</v>
      </c>
      <c r="D37" s="33">
        <f>'3º Alta Frec'!R34</f>
        <v>23.998454268398245</v>
      </c>
      <c r="E37" s="34">
        <f t="shared" si="19"/>
        <v>2</v>
      </c>
      <c r="F37" s="112">
        <f t="shared" ref="F37:F54" si="24">-10*LOG10((10^(-C37/10)+10^(-D37/10))/E37)</f>
        <v>21.589582025968213</v>
      </c>
      <c r="G37" s="13">
        <v>33</v>
      </c>
      <c r="H37" s="18">
        <f>G37-26</f>
        <v>7</v>
      </c>
      <c r="I37" s="18">
        <f>G37-27</f>
        <v>6</v>
      </c>
      <c r="J37" s="18">
        <f>G37-28</f>
        <v>5</v>
      </c>
      <c r="K37" s="79">
        <f t="shared" ref="K37:K52" si="25">IF((F37-G37)&gt;0,F37-G37,0)</f>
        <v>0</v>
      </c>
      <c r="L37" s="33">
        <f t="shared" ref="L37:L52" si="26">IF((F37-H37)&gt;0,F37-H37,0)</f>
        <v>14.589582025968213</v>
      </c>
      <c r="M37" s="98">
        <f t="shared" ref="M37:M52" si="27">IF((F37-I37)&gt;0,F37-I37,0)</f>
        <v>15.589582025968213</v>
      </c>
      <c r="N37" s="66">
        <f t="shared" ref="N37:N52" si="28">IF((F37-J37)&gt;0,F37-J37,0)</f>
        <v>16.589582025968213</v>
      </c>
      <c r="O37" s="99">
        <v>-29</v>
      </c>
      <c r="P37" s="33">
        <f>O37-F37</f>
        <v>-50.589582025968213</v>
      </c>
      <c r="Q37" s="97">
        <f>10^(P37/10)</f>
        <v>8.7305538900928366E-6</v>
      </c>
      <c r="R37" s="34">
        <v>-30</v>
      </c>
      <c r="S37" s="33">
        <f>R37-F37</f>
        <v>-51.589582025968213</v>
      </c>
      <c r="T37" s="97">
        <f>10^(S37/10)</f>
        <v>6.9349254596826599E-6</v>
      </c>
      <c r="U37" s="34">
        <v>-20</v>
      </c>
      <c r="V37" s="33">
        <f>U37-F37</f>
        <v>-41.589582025968213</v>
      </c>
      <c r="W37" s="97">
        <f>10^(V37/10)</f>
        <v>6.9349254596826548E-5</v>
      </c>
      <c r="X37" s="34">
        <v>-20</v>
      </c>
      <c r="Y37" s="33">
        <f>X37-F37</f>
        <v>-41.589582025968213</v>
      </c>
      <c r="Z37" s="97">
        <f>10^(Y37/10)</f>
        <v>6.9349254596826548E-5</v>
      </c>
    </row>
    <row r="38" spans="2:26" x14ac:dyDescent="0.2">
      <c r="B38" s="13">
        <v>125</v>
      </c>
      <c r="C38" s="33">
        <f>'3º Alta Frec'!H35</f>
        <v>16.320839182676902</v>
      </c>
      <c r="D38" s="33">
        <f>'3º Alta Frec'!R35</f>
        <v>23.955603404422344</v>
      </c>
      <c r="E38" s="34">
        <f t="shared" si="19"/>
        <v>2</v>
      </c>
      <c r="F38" s="112">
        <f t="shared" si="24"/>
        <v>18.640401163043414</v>
      </c>
      <c r="G38" s="13">
        <v>36</v>
      </c>
      <c r="H38" s="18">
        <f t="shared" ref="H38:H52" si="29">G38-26</f>
        <v>10</v>
      </c>
      <c r="I38" s="18">
        <f t="shared" ref="I38:I52" si="30">G38-27</f>
        <v>9</v>
      </c>
      <c r="J38" s="18">
        <f t="shared" ref="J38:J52" si="31">G38-28</f>
        <v>8</v>
      </c>
      <c r="K38" s="79">
        <f t="shared" si="25"/>
        <v>0</v>
      </c>
      <c r="L38" s="33">
        <f t="shared" si="26"/>
        <v>8.6404011630434141</v>
      </c>
      <c r="M38" s="98">
        <f t="shared" si="27"/>
        <v>9.6404011630434141</v>
      </c>
      <c r="N38" s="66">
        <f t="shared" si="28"/>
        <v>10.640401163043414</v>
      </c>
      <c r="O38" s="99">
        <v>-26</v>
      </c>
      <c r="P38" s="33">
        <f t="shared" ref="P38:P52" si="32">O38-F38</f>
        <v>-44.640401163043414</v>
      </c>
      <c r="Q38" s="97">
        <f t="shared" ref="Q38:Q52" si="33">10^(P38/10)</f>
        <v>3.4352621450410723E-5</v>
      </c>
      <c r="R38" s="34">
        <v>-27</v>
      </c>
      <c r="S38" s="33">
        <f t="shared" ref="S38:S54" si="34">R38-F38</f>
        <v>-45.640401163043414</v>
      </c>
      <c r="T38" s="97">
        <f t="shared" si="23"/>
        <v>2.7287257154856211E-5</v>
      </c>
      <c r="U38" s="34">
        <v>-20</v>
      </c>
      <c r="V38" s="33">
        <f>U38-F38</f>
        <v>-38.640401163043414</v>
      </c>
      <c r="W38" s="97">
        <f t="shared" ref="W38:W52" si="35">10^(V38/10)</f>
        <v>1.3676024926718384E-4</v>
      </c>
      <c r="X38" s="34">
        <v>-20</v>
      </c>
      <c r="Y38" s="33">
        <f t="shared" ref="Y38:Y54" si="36">X38-F38</f>
        <v>-38.640401163043414</v>
      </c>
      <c r="Z38" s="97">
        <f t="shared" si="21"/>
        <v>1.3676024926718384E-4</v>
      </c>
    </row>
    <row r="39" spans="2:26" x14ac:dyDescent="0.2">
      <c r="B39" s="13">
        <v>160</v>
      </c>
      <c r="C39" s="33">
        <f>'3º Alta Frec'!H36</f>
        <v>16.624435176013161</v>
      </c>
      <c r="D39" s="33">
        <f>'3º Alta Frec'!R36</f>
        <v>19.227486015762079</v>
      </c>
      <c r="E39" s="34">
        <f t="shared" si="19"/>
        <v>2</v>
      </c>
      <c r="F39" s="112">
        <f t="shared" si="24"/>
        <v>17.733786494601173</v>
      </c>
      <c r="G39" s="13">
        <v>39</v>
      </c>
      <c r="H39" s="18">
        <f t="shared" si="29"/>
        <v>13</v>
      </c>
      <c r="I39" s="18">
        <f t="shared" si="30"/>
        <v>12</v>
      </c>
      <c r="J39" s="18">
        <f t="shared" si="31"/>
        <v>11</v>
      </c>
      <c r="K39" s="79">
        <f t="shared" si="25"/>
        <v>0</v>
      </c>
      <c r="L39" s="33">
        <f t="shared" si="26"/>
        <v>4.7337864946011727</v>
      </c>
      <c r="M39" s="98">
        <f t="shared" si="27"/>
        <v>5.7337864946011727</v>
      </c>
      <c r="N39" s="66">
        <f t="shared" si="28"/>
        <v>6.7337864946011727</v>
      </c>
      <c r="O39" s="99">
        <v>-23</v>
      </c>
      <c r="P39" s="33">
        <f t="shared" si="32"/>
        <v>-40.733786494601176</v>
      </c>
      <c r="Q39" s="97">
        <f t="shared" si="33"/>
        <v>8.4454219087486815E-5</v>
      </c>
      <c r="R39" s="34">
        <v>-24</v>
      </c>
      <c r="S39" s="33">
        <f t="shared" si="34"/>
        <v>-41.733786494601176</v>
      </c>
      <c r="T39" s="97">
        <f t="shared" si="23"/>
        <v>6.7084370762781178E-5</v>
      </c>
      <c r="U39" s="34">
        <v>-18</v>
      </c>
      <c r="V39" s="33">
        <f t="shared" ref="V39:V52" si="37">U39-F39</f>
        <v>-35.733786494601176</v>
      </c>
      <c r="W39" s="97">
        <f t="shared" si="35"/>
        <v>2.6706769032732564E-4</v>
      </c>
      <c r="X39" s="34">
        <v>-18</v>
      </c>
      <c r="Y39" s="33">
        <f t="shared" si="36"/>
        <v>-35.733786494601176</v>
      </c>
      <c r="Z39" s="97">
        <f t="shared" si="21"/>
        <v>2.6706769032732564E-4</v>
      </c>
    </row>
    <row r="40" spans="2:26" x14ac:dyDescent="0.2">
      <c r="B40" s="13">
        <v>200</v>
      </c>
      <c r="C40" s="33">
        <f>'3º Alta Frec'!H37</f>
        <v>16.616465597271688</v>
      </c>
      <c r="D40" s="33">
        <f>'3º Alta Frec'!R37</f>
        <v>13.374115368729152</v>
      </c>
      <c r="E40" s="34">
        <f t="shared" si="19"/>
        <v>2</v>
      </c>
      <c r="F40" s="112">
        <f t="shared" si="24"/>
        <v>14.699483466531492</v>
      </c>
      <c r="G40" s="13">
        <v>42</v>
      </c>
      <c r="H40" s="18">
        <f t="shared" si="29"/>
        <v>16</v>
      </c>
      <c r="I40" s="18">
        <f t="shared" si="30"/>
        <v>15</v>
      </c>
      <c r="J40" s="18">
        <f t="shared" si="31"/>
        <v>14</v>
      </c>
      <c r="K40" s="79">
        <f t="shared" si="25"/>
        <v>0</v>
      </c>
      <c r="L40" s="33">
        <f t="shared" si="26"/>
        <v>0</v>
      </c>
      <c r="M40" s="98">
        <f t="shared" si="27"/>
        <v>0</v>
      </c>
      <c r="N40" s="66">
        <f t="shared" si="28"/>
        <v>0.69948346653149152</v>
      </c>
      <c r="O40" s="99">
        <v>-21</v>
      </c>
      <c r="P40" s="33">
        <f t="shared" si="32"/>
        <v>-35.69948346653149</v>
      </c>
      <c r="Q40" s="97">
        <f t="shared" si="33"/>
        <v>2.691854943957629E-4</v>
      </c>
      <c r="R40" s="34">
        <v>-22</v>
      </c>
      <c r="S40" s="33">
        <f t="shared" si="34"/>
        <v>-36.69948346653149</v>
      </c>
      <c r="T40" s="97">
        <f t="shared" si="23"/>
        <v>2.138216385767695E-4</v>
      </c>
      <c r="U40" s="34">
        <v>-16</v>
      </c>
      <c r="V40" s="33">
        <f t="shared" si="37"/>
        <v>-30.69948346653149</v>
      </c>
      <c r="W40" s="97">
        <f t="shared" si="35"/>
        <v>8.5123927536910192E-4</v>
      </c>
      <c r="X40" s="34">
        <v>-16</v>
      </c>
      <c r="Y40" s="33">
        <f t="shared" si="36"/>
        <v>-30.69948346653149</v>
      </c>
      <c r="Z40" s="97">
        <f t="shared" si="21"/>
        <v>8.5123927536910192E-4</v>
      </c>
    </row>
    <row r="41" spans="2:26" x14ac:dyDescent="0.2">
      <c r="B41" s="13">
        <v>250</v>
      </c>
      <c r="C41" s="33">
        <f>'3º Alta Frec'!H38</f>
        <v>18.662322965162947</v>
      </c>
      <c r="D41" s="33">
        <f>'3º Alta Frec'!R38</f>
        <v>10.677727586726252</v>
      </c>
      <c r="E41" s="34">
        <f t="shared" si="19"/>
        <v>2</v>
      </c>
      <c r="F41" s="112">
        <f t="shared" si="24"/>
        <v>13.046996514522071</v>
      </c>
      <c r="G41" s="100">
        <v>45</v>
      </c>
      <c r="H41" s="18">
        <f t="shared" si="29"/>
        <v>19</v>
      </c>
      <c r="I41" s="18">
        <f t="shared" si="30"/>
        <v>18</v>
      </c>
      <c r="J41" s="18">
        <f t="shared" si="31"/>
        <v>17</v>
      </c>
      <c r="K41" s="79">
        <f t="shared" si="25"/>
        <v>0</v>
      </c>
      <c r="L41" s="33">
        <f t="shared" si="26"/>
        <v>0</v>
      </c>
      <c r="M41" s="98">
        <f t="shared" si="27"/>
        <v>0</v>
      </c>
      <c r="N41" s="66">
        <f t="shared" si="28"/>
        <v>0</v>
      </c>
      <c r="O41" s="99">
        <v>-19</v>
      </c>
      <c r="P41" s="33">
        <f t="shared" si="32"/>
        <v>-32.046996514522071</v>
      </c>
      <c r="Q41" s="97">
        <f t="shared" si="33"/>
        <v>6.2416634602230987E-4</v>
      </c>
      <c r="R41" s="34">
        <v>-20</v>
      </c>
      <c r="S41" s="33">
        <f t="shared" si="34"/>
        <v>-33.046996514522071</v>
      </c>
      <c r="T41" s="97">
        <f t="shared" si="23"/>
        <v>4.957929518102065E-4</v>
      </c>
      <c r="U41" s="34">
        <v>-15</v>
      </c>
      <c r="V41" s="33">
        <f t="shared" si="37"/>
        <v>-28.046996514522071</v>
      </c>
      <c r="W41" s="97">
        <f t="shared" si="35"/>
        <v>1.5678349755783535E-3</v>
      </c>
      <c r="X41" s="34">
        <v>-15</v>
      </c>
      <c r="Y41" s="33">
        <f t="shared" si="36"/>
        <v>-28.046996514522071</v>
      </c>
      <c r="Z41" s="97">
        <f t="shared" si="21"/>
        <v>1.5678349755783535E-3</v>
      </c>
    </row>
    <row r="42" spans="2:26" x14ac:dyDescent="0.2">
      <c r="B42" s="13">
        <v>315</v>
      </c>
      <c r="C42" s="33">
        <f>'3º Alta Frec'!H39</f>
        <v>17.89290898843841</v>
      </c>
      <c r="D42" s="33">
        <f>'3º Alta Frec'!R39</f>
        <v>17.543689401553454</v>
      </c>
      <c r="E42" s="34">
        <f t="shared" si="19"/>
        <v>2</v>
      </c>
      <c r="F42" s="112">
        <f t="shared" si="24"/>
        <v>17.71479001277299</v>
      </c>
      <c r="G42" s="100">
        <v>48</v>
      </c>
      <c r="H42" s="18">
        <f t="shared" si="29"/>
        <v>22</v>
      </c>
      <c r="I42" s="18">
        <f t="shared" si="30"/>
        <v>21</v>
      </c>
      <c r="J42" s="18">
        <f t="shared" si="31"/>
        <v>20</v>
      </c>
      <c r="K42" s="79">
        <f t="shared" si="25"/>
        <v>0</v>
      </c>
      <c r="L42" s="33">
        <f t="shared" si="26"/>
        <v>0</v>
      </c>
      <c r="M42" s="98">
        <f t="shared" si="27"/>
        <v>0</v>
      </c>
      <c r="N42" s="66">
        <f t="shared" si="28"/>
        <v>0</v>
      </c>
      <c r="O42" s="99">
        <v>-17</v>
      </c>
      <c r="P42" s="33">
        <f t="shared" si="32"/>
        <v>-34.714790012772994</v>
      </c>
      <c r="Q42" s="97">
        <f t="shared" si="33"/>
        <v>3.3769217611850385E-4</v>
      </c>
      <c r="R42" s="34">
        <v>-18</v>
      </c>
      <c r="S42" s="33">
        <f t="shared" si="34"/>
        <v>-35.714790012772994</v>
      </c>
      <c r="T42" s="97">
        <f t="shared" si="23"/>
        <v>2.6823843013641234E-4</v>
      </c>
      <c r="U42" s="34">
        <v>-14</v>
      </c>
      <c r="V42" s="33">
        <f t="shared" si="37"/>
        <v>-31.71479001277299</v>
      </c>
      <c r="W42" s="97">
        <f t="shared" si="35"/>
        <v>6.7378447306908561E-4</v>
      </c>
      <c r="X42" s="34">
        <v>-14</v>
      </c>
      <c r="Y42" s="33">
        <f t="shared" si="36"/>
        <v>-31.71479001277299</v>
      </c>
      <c r="Z42" s="97">
        <f t="shared" si="21"/>
        <v>6.7378447306908561E-4</v>
      </c>
    </row>
    <row r="43" spans="2:26" x14ac:dyDescent="0.2">
      <c r="B43" s="13">
        <v>400</v>
      </c>
      <c r="C43" s="33">
        <f>'3º Alta Frec'!H40</f>
        <v>25.992050879110582</v>
      </c>
      <c r="D43" s="33">
        <f>'3º Alta Frec'!R40</f>
        <v>20.399050573042533</v>
      </c>
      <c r="E43" s="34">
        <f t="shared" si="19"/>
        <v>2</v>
      </c>
      <c r="F43" s="112">
        <f t="shared" si="24"/>
        <v>22.351296013174554</v>
      </c>
      <c r="G43" s="100">
        <v>51</v>
      </c>
      <c r="H43" s="18">
        <f t="shared" si="29"/>
        <v>25</v>
      </c>
      <c r="I43" s="18">
        <f t="shared" si="30"/>
        <v>24</v>
      </c>
      <c r="J43" s="18">
        <f t="shared" si="31"/>
        <v>23</v>
      </c>
      <c r="K43" s="79">
        <f t="shared" si="25"/>
        <v>0</v>
      </c>
      <c r="L43" s="33">
        <f t="shared" si="26"/>
        <v>0</v>
      </c>
      <c r="M43" s="98">
        <f t="shared" si="27"/>
        <v>0</v>
      </c>
      <c r="N43" s="66">
        <f t="shared" si="28"/>
        <v>0</v>
      </c>
      <c r="O43" s="99">
        <v>-15</v>
      </c>
      <c r="P43" s="33">
        <f t="shared" si="32"/>
        <v>-37.351296013174554</v>
      </c>
      <c r="Q43" s="97">
        <f t="shared" si="33"/>
        <v>1.8402227638117142E-4</v>
      </c>
      <c r="R43" s="34">
        <v>-16</v>
      </c>
      <c r="S43" s="33">
        <f t="shared" si="34"/>
        <v>-38.351296013174554</v>
      </c>
      <c r="T43" s="97">
        <f t="shared" si="23"/>
        <v>1.4617408994779962E-4</v>
      </c>
      <c r="U43" s="34">
        <v>-13</v>
      </c>
      <c r="V43" s="33">
        <f t="shared" si="37"/>
        <v>-35.351296013174554</v>
      </c>
      <c r="W43" s="97">
        <f t="shared" si="35"/>
        <v>2.9165565309771608E-4</v>
      </c>
      <c r="X43" s="34">
        <v>-13</v>
      </c>
      <c r="Y43" s="33">
        <f t="shared" si="36"/>
        <v>-35.351296013174554</v>
      </c>
      <c r="Z43" s="97">
        <f t="shared" si="21"/>
        <v>2.9165565309771608E-4</v>
      </c>
    </row>
    <row r="44" spans="2:26" x14ac:dyDescent="0.2">
      <c r="B44" s="13">
        <v>500</v>
      </c>
      <c r="C44" s="33">
        <f>'3º Alta Frec'!H41</f>
        <v>25.05303566509297</v>
      </c>
      <c r="D44" s="33">
        <f>'3º Alta Frec'!R41</f>
        <v>22.138761811915323</v>
      </c>
      <c r="E44" s="34">
        <f t="shared" si="19"/>
        <v>2</v>
      </c>
      <c r="F44" s="112">
        <f t="shared" si="24"/>
        <v>23.355903987534511</v>
      </c>
      <c r="G44" s="101">
        <v>52</v>
      </c>
      <c r="H44" s="18">
        <f t="shared" si="29"/>
        <v>26</v>
      </c>
      <c r="I44" s="95">
        <f t="shared" si="30"/>
        <v>25</v>
      </c>
      <c r="J44" s="18">
        <f t="shared" si="31"/>
        <v>24</v>
      </c>
      <c r="K44" s="79">
        <f t="shared" si="25"/>
        <v>0</v>
      </c>
      <c r="L44" s="33">
        <f t="shared" si="26"/>
        <v>0</v>
      </c>
      <c r="M44" s="98">
        <f t="shared" si="27"/>
        <v>0</v>
      </c>
      <c r="N44" s="66">
        <f t="shared" si="28"/>
        <v>0</v>
      </c>
      <c r="O44" s="99">
        <v>-13</v>
      </c>
      <c r="P44" s="33">
        <f t="shared" si="32"/>
        <v>-36.355903987534511</v>
      </c>
      <c r="Q44" s="97">
        <f t="shared" si="33"/>
        <v>2.3142464235816954E-4</v>
      </c>
      <c r="R44" s="34">
        <v>-14</v>
      </c>
      <c r="S44" s="33">
        <f t="shared" si="34"/>
        <v>-37.355903987534511</v>
      </c>
      <c r="T44" s="97">
        <f t="shared" si="23"/>
        <v>1.8382712763606316E-4</v>
      </c>
      <c r="U44" s="34">
        <v>-12</v>
      </c>
      <c r="V44" s="33">
        <f t="shared" si="37"/>
        <v>-35.355903987534511</v>
      </c>
      <c r="W44" s="97">
        <f t="shared" si="35"/>
        <v>2.9134636318007672E-4</v>
      </c>
      <c r="X44" s="34">
        <v>-12</v>
      </c>
      <c r="Y44" s="33">
        <f t="shared" si="36"/>
        <v>-35.355903987534511</v>
      </c>
      <c r="Z44" s="97">
        <f t="shared" si="21"/>
        <v>2.9134636318007672E-4</v>
      </c>
    </row>
    <row r="45" spans="2:26" x14ac:dyDescent="0.2">
      <c r="B45" s="13">
        <v>630</v>
      </c>
      <c r="C45" s="33">
        <f>'3º Alta Frec'!H42</f>
        <v>25.147401289638591</v>
      </c>
      <c r="D45" s="33">
        <f>'3º Alta Frec'!R42</f>
        <v>24.085824675311041</v>
      </c>
      <c r="E45" s="34">
        <f t="shared" si="19"/>
        <v>2</v>
      </c>
      <c r="F45" s="112">
        <f t="shared" si="24"/>
        <v>24.584257332057259</v>
      </c>
      <c r="G45" s="13">
        <v>53</v>
      </c>
      <c r="H45" s="18">
        <f t="shared" si="29"/>
        <v>27</v>
      </c>
      <c r="I45" s="18">
        <f t="shared" si="30"/>
        <v>26</v>
      </c>
      <c r="J45" s="18">
        <f t="shared" si="31"/>
        <v>25</v>
      </c>
      <c r="K45" s="79">
        <f t="shared" si="25"/>
        <v>0</v>
      </c>
      <c r="L45" s="33">
        <f t="shared" si="26"/>
        <v>0</v>
      </c>
      <c r="M45" s="98">
        <f t="shared" si="27"/>
        <v>0</v>
      </c>
      <c r="N45" s="66">
        <f t="shared" si="28"/>
        <v>0</v>
      </c>
      <c r="O45" s="99">
        <v>-12</v>
      </c>
      <c r="P45" s="33">
        <f t="shared" si="32"/>
        <v>-36.584257332057263</v>
      </c>
      <c r="Q45" s="97">
        <f t="shared" si="33"/>
        <v>2.1957063951561924E-4</v>
      </c>
      <c r="R45" s="34">
        <v>-13</v>
      </c>
      <c r="S45" s="33">
        <f t="shared" si="34"/>
        <v>-37.584257332057263</v>
      </c>
      <c r="T45" s="97">
        <f t="shared" si="23"/>
        <v>1.7441115848372359E-4</v>
      </c>
      <c r="U45" s="34">
        <v>-11</v>
      </c>
      <c r="V45" s="33">
        <f t="shared" si="37"/>
        <v>-35.584257332057263</v>
      </c>
      <c r="W45" s="97">
        <f t="shared" si="35"/>
        <v>2.7642305777010986E-4</v>
      </c>
      <c r="X45" s="34">
        <v>-11</v>
      </c>
      <c r="Y45" s="33">
        <f t="shared" si="36"/>
        <v>-35.584257332057263</v>
      </c>
      <c r="Z45" s="97">
        <f t="shared" si="21"/>
        <v>2.7642305777010986E-4</v>
      </c>
    </row>
    <row r="46" spans="2:26" x14ac:dyDescent="0.2">
      <c r="B46" s="13">
        <v>800</v>
      </c>
      <c r="C46" s="33">
        <f>'3º Alta Frec'!H43</f>
        <v>27.80777641093022</v>
      </c>
      <c r="D46" s="33">
        <f>'3º Alta Frec'!R43</f>
        <v>24.214778286408706</v>
      </c>
      <c r="E46" s="34">
        <f t="shared" si="19"/>
        <v>2</v>
      </c>
      <c r="F46" s="112">
        <f t="shared" si="24"/>
        <v>25.649845211970266</v>
      </c>
      <c r="G46" s="13">
        <v>54</v>
      </c>
      <c r="H46" s="18">
        <f t="shared" si="29"/>
        <v>28</v>
      </c>
      <c r="I46" s="18">
        <f t="shared" si="30"/>
        <v>27</v>
      </c>
      <c r="J46" s="18">
        <f t="shared" si="31"/>
        <v>26</v>
      </c>
      <c r="K46" s="79">
        <f t="shared" si="25"/>
        <v>0</v>
      </c>
      <c r="L46" s="33">
        <f t="shared" si="26"/>
        <v>0</v>
      </c>
      <c r="M46" s="98">
        <f t="shared" si="27"/>
        <v>0</v>
      </c>
      <c r="N46" s="66">
        <f t="shared" si="28"/>
        <v>0</v>
      </c>
      <c r="O46" s="99">
        <v>-11</v>
      </c>
      <c r="P46" s="33">
        <f t="shared" si="32"/>
        <v>-36.649845211970266</v>
      </c>
      <c r="Q46" s="97">
        <f t="shared" si="33"/>
        <v>2.1627956071160255E-4</v>
      </c>
      <c r="R46" s="34">
        <v>-12</v>
      </c>
      <c r="S46" s="33">
        <f t="shared" si="34"/>
        <v>-37.649845211970266</v>
      </c>
      <c r="T46" s="97">
        <f t="shared" si="23"/>
        <v>1.7179696166699017E-4</v>
      </c>
      <c r="U46" s="34">
        <v>-9</v>
      </c>
      <c r="V46" s="33">
        <f t="shared" si="37"/>
        <v>-34.649845211970266</v>
      </c>
      <c r="W46" s="97">
        <f t="shared" si="35"/>
        <v>3.4278000344029866E-4</v>
      </c>
      <c r="X46" s="34">
        <v>-9</v>
      </c>
      <c r="Y46" s="33">
        <f t="shared" si="36"/>
        <v>-34.649845211970266</v>
      </c>
      <c r="Z46" s="97">
        <f t="shared" si="21"/>
        <v>3.4278000344029866E-4</v>
      </c>
    </row>
    <row r="47" spans="2:26" x14ac:dyDescent="0.2">
      <c r="B47" s="13">
        <v>1000</v>
      </c>
      <c r="C47" s="33">
        <f>'3º Alta Frec'!H44</f>
        <v>28.022033626288547</v>
      </c>
      <c r="D47" s="33">
        <f>'3º Alta Frec'!R44</f>
        <v>23.403918645905449</v>
      </c>
      <c r="E47" s="34">
        <f t="shared" si="19"/>
        <v>2</v>
      </c>
      <c r="F47" s="112">
        <f t="shared" si="24"/>
        <v>25.126047910232359</v>
      </c>
      <c r="G47" s="13">
        <v>55</v>
      </c>
      <c r="H47" s="18">
        <f t="shared" si="29"/>
        <v>29</v>
      </c>
      <c r="I47" s="18">
        <f t="shared" si="30"/>
        <v>28</v>
      </c>
      <c r="J47" s="18">
        <f t="shared" si="31"/>
        <v>27</v>
      </c>
      <c r="K47" s="79">
        <f t="shared" si="25"/>
        <v>0</v>
      </c>
      <c r="L47" s="33">
        <f t="shared" si="26"/>
        <v>0</v>
      </c>
      <c r="M47" s="98">
        <f t="shared" si="27"/>
        <v>0</v>
      </c>
      <c r="N47" s="66">
        <f t="shared" si="28"/>
        <v>0</v>
      </c>
      <c r="O47" s="99">
        <v>-10</v>
      </c>
      <c r="P47" s="33">
        <f t="shared" si="32"/>
        <v>-35.126047910232359</v>
      </c>
      <c r="Q47" s="97">
        <f t="shared" si="33"/>
        <v>3.0718160765753021E-4</v>
      </c>
      <c r="R47" s="34">
        <v>-11</v>
      </c>
      <c r="S47" s="33">
        <f t="shared" si="34"/>
        <v>-36.126047910232359</v>
      </c>
      <c r="T47" s="97">
        <f t="shared" si="23"/>
        <v>2.4400302415037258E-4</v>
      </c>
      <c r="U47" s="34">
        <v>-8</v>
      </c>
      <c r="V47" s="33">
        <f t="shared" si="37"/>
        <v>-33.126047910232359</v>
      </c>
      <c r="W47" s="97">
        <f t="shared" si="35"/>
        <v>4.8685003882568056E-4</v>
      </c>
      <c r="X47" s="34">
        <v>-8</v>
      </c>
      <c r="Y47" s="33">
        <f t="shared" si="36"/>
        <v>-33.126047910232359</v>
      </c>
      <c r="Z47" s="97">
        <f t="shared" si="21"/>
        <v>4.8685003882568056E-4</v>
      </c>
    </row>
    <row r="48" spans="2:26" x14ac:dyDescent="0.2">
      <c r="B48" s="13">
        <v>1250</v>
      </c>
      <c r="C48" s="33">
        <f>'3º Alta Frec'!H45</f>
        <v>26.83839565539218</v>
      </c>
      <c r="D48" s="33">
        <f>'3º Alta Frec'!R45</f>
        <v>23.508541798709647</v>
      </c>
      <c r="E48" s="34">
        <f t="shared" si="19"/>
        <v>2</v>
      </c>
      <c r="F48" s="112">
        <f t="shared" si="24"/>
        <v>24.861856342746712</v>
      </c>
      <c r="G48" s="13">
        <v>56</v>
      </c>
      <c r="H48" s="18">
        <f t="shared" si="29"/>
        <v>30</v>
      </c>
      <c r="I48" s="18">
        <f t="shared" si="30"/>
        <v>29</v>
      </c>
      <c r="J48" s="18">
        <f t="shared" si="31"/>
        <v>28</v>
      </c>
      <c r="K48" s="79">
        <f t="shared" si="25"/>
        <v>0</v>
      </c>
      <c r="L48" s="33">
        <f t="shared" si="26"/>
        <v>0</v>
      </c>
      <c r="M48" s="98">
        <f t="shared" si="27"/>
        <v>0</v>
      </c>
      <c r="N48" s="66">
        <f t="shared" si="28"/>
        <v>0</v>
      </c>
      <c r="O48" s="99">
        <v>-9</v>
      </c>
      <c r="P48" s="33">
        <f t="shared" si="32"/>
        <v>-33.861856342746712</v>
      </c>
      <c r="Q48" s="97">
        <f t="shared" si="33"/>
        <v>4.1097401735060179E-4</v>
      </c>
      <c r="R48" s="34">
        <v>-10</v>
      </c>
      <c r="S48" s="33">
        <f t="shared" si="34"/>
        <v>-34.861856342746712</v>
      </c>
      <c r="T48" s="97">
        <f t="shared" si="23"/>
        <v>3.2644826571964975E-4</v>
      </c>
      <c r="U48" s="34">
        <v>-9</v>
      </c>
      <c r="V48" s="33">
        <f t="shared" si="37"/>
        <v>-33.861856342746712</v>
      </c>
      <c r="W48" s="97">
        <f t="shared" si="35"/>
        <v>4.1097401735060179E-4</v>
      </c>
      <c r="X48" s="34">
        <v>-9</v>
      </c>
      <c r="Y48" s="33">
        <f t="shared" si="36"/>
        <v>-33.861856342746712</v>
      </c>
      <c r="Z48" s="97">
        <f t="shared" si="21"/>
        <v>4.1097401735060179E-4</v>
      </c>
    </row>
    <row r="49" spans="2:26" x14ac:dyDescent="0.2">
      <c r="B49" s="13">
        <v>1600</v>
      </c>
      <c r="C49" s="33">
        <f>'3º Alta Frec'!H46</f>
        <v>27.196575672941787</v>
      </c>
      <c r="D49" s="33">
        <f>'3º Alta Frec'!R46</f>
        <v>23.79173908271461</v>
      </c>
      <c r="E49" s="34">
        <f t="shared" si="19"/>
        <v>2</v>
      </c>
      <c r="F49" s="112">
        <f t="shared" si="24"/>
        <v>25.168697316264215</v>
      </c>
      <c r="G49" s="13">
        <v>56</v>
      </c>
      <c r="H49" s="18">
        <f t="shared" si="29"/>
        <v>30</v>
      </c>
      <c r="I49" s="18">
        <f t="shared" si="30"/>
        <v>29</v>
      </c>
      <c r="J49" s="18">
        <f t="shared" si="31"/>
        <v>28</v>
      </c>
      <c r="K49" s="79">
        <f t="shared" si="25"/>
        <v>0</v>
      </c>
      <c r="L49" s="33">
        <f t="shared" si="26"/>
        <v>0</v>
      </c>
      <c r="M49" s="98">
        <f t="shared" si="27"/>
        <v>0</v>
      </c>
      <c r="N49" s="66">
        <f t="shared" si="28"/>
        <v>0</v>
      </c>
      <c r="O49" s="99">
        <v>-9</v>
      </c>
      <c r="P49" s="33">
        <f t="shared" si="32"/>
        <v>-34.168697316264215</v>
      </c>
      <c r="Q49" s="97">
        <f t="shared" si="33"/>
        <v>3.8293959035921106E-4</v>
      </c>
      <c r="R49" s="34">
        <v>-10</v>
      </c>
      <c r="S49" s="33">
        <f t="shared" si="34"/>
        <v>-35.168697316264215</v>
      </c>
      <c r="T49" s="97">
        <f t="shared" si="23"/>
        <v>3.0417972881607137E-4</v>
      </c>
      <c r="U49" s="34">
        <v>-10</v>
      </c>
      <c r="V49" s="33">
        <f t="shared" si="37"/>
        <v>-35.168697316264215</v>
      </c>
      <c r="W49" s="97">
        <f t="shared" si="35"/>
        <v>3.0417972881607137E-4</v>
      </c>
      <c r="X49" s="34">
        <v>-10</v>
      </c>
      <c r="Y49" s="33">
        <f t="shared" si="36"/>
        <v>-35.168697316264215</v>
      </c>
      <c r="Z49" s="97">
        <f t="shared" si="21"/>
        <v>3.0417972881607137E-4</v>
      </c>
    </row>
    <row r="50" spans="2:26" x14ac:dyDescent="0.2">
      <c r="B50" s="13">
        <v>2000</v>
      </c>
      <c r="C50" s="33">
        <f>'3º Alta Frec'!H47</f>
        <v>23.648595639022563</v>
      </c>
      <c r="D50" s="33">
        <f>'3º Alta Frec'!R47</f>
        <v>22.426499587782249</v>
      </c>
      <c r="E50" s="34">
        <f t="shared" si="19"/>
        <v>2</v>
      </c>
      <c r="F50" s="112">
        <f t="shared" si="24"/>
        <v>22.994701773494409</v>
      </c>
      <c r="G50" s="13">
        <v>56</v>
      </c>
      <c r="H50" s="18">
        <f t="shared" si="29"/>
        <v>30</v>
      </c>
      <c r="I50" s="18">
        <f t="shared" si="30"/>
        <v>29</v>
      </c>
      <c r="J50" s="18">
        <f t="shared" si="31"/>
        <v>28</v>
      </c>
      <c r="K50" s="79">
        <f t="shared" si="25"/>
        <v>0</v>
      </c>
      <c r="L50" s="33">
        <f t="shared" si="26"/>
        <v>0</v>
      </c>
      <c r="M50" s="98">
        <f t="shared" si="27"/>
        <v>0</v>
      </c>
      <c r="N50" s="66">
        <f t="shared" si="28"/>
        <v>0</v>
      </c>
      <c r="O50" s="99">
        <v>-9</v>
      </c>
      <c r="P50" s="33">
        <f t="shared" si="32"/>
        <v>-31.994701773494409</v>
      </c>
      <c r="Q50" s="97">
        <f t="shared" si="33"/>
        <v>6.3172755801820305E-4</v>
      </c>
      <c r="R50" s="34">
        <v>-10</v>
      </c>
      <c r="S50" s="33">
        <f t="shared" si="34"/>
        <v>-32.994701773494413</v>
      </c>
      <c r="T50" s="97">
        <f t="shared" si="23"/>
        <v>5.0179903598727949E-4</v>
      </c>
      <c r="U50" s="34">
        <v>-11</v>
      </c>
      <c r="V50" s="33">
        <f t="shared" si="37"/>
        <v>-33.994701773494413</v>
      </c>
      <c r="W50" s="97">
        <f t="shared" si="35"/>
        <v>3.9859314244212199E-4</v>
      </c>
      <c r="X50" s="34">
        <v>-11</v>
      </c>
      <c r="Y50" s="33">
        <f t="shared" si="36"/>
        <v>-33.994701773494413</v>
      </c>
      <c r="Z50" s="97">
        <f t="shared" si="21"/>
        <v>3.9859314244212199E-4</v>
      </c>
    </row>
    <row r="51" spans="2:26" x14ac:dyDescent="0.2">
      <c r="B51" s="13">
        <v>2500</v>
      </c>
      <c r="C51" s="33">
        <f>'3º Alta Frec'!H48</f>
        <v>19.563242877710653</v>
      </c>
      <c r="D51" s="33">
        <f>'3º Alta Frec'!R48</f>
        <v>20.523963965155676</v>
      </c>
      <c r="E51" s="34">
        <f t="shared" si="19"/>
        <v>2</v>
      </c>
      <c r="F51" s="112">
        <f t="shared" si="24"/>
        <v>20.017091768414694</v>
      </c>
      <c r="G51" s="13">
        <v>56</v>
      </c>
      <c r="H51" s="18">
        <f t="shared" si="29"/>
        <v>30</v>
      </c>
      <c r="I51" s="18">
        <f t="shared" si="30"/>
        <v>29</v>
      </c>
      <c r="J51" s="18">
        <f t="shared" si="31"/>
        <v>28</v>
      </c>
      <c r="K51" s="79">
        <f t="shared" si="25"/>
        <v>0</v>
      </c>
      <c r="L51" s="33">
        <f t="shared" si="26"/>
        <v>0</v>
      </c>
      <c r="M51" s="98">
        <f t="shared" si="27"/>
        <v>0</v>
      </c>
      <c r="N51" s="66">
        <f t="shared" si="28"/>
        <v>0</v>
      </c>
      <c r="O51" s="99">
        <v>-9</v>
      </c>
      <c r="P51" s="33">
        <f t="shared" si="32"/>
        <v>-29.017091768414694</v>
      </c>
      <c r="Q51" s="97">
        <f t="shared" si="33"/>
        <v>1.2539806157829811E-3</v>
      </c>
      <c r="R51" s="34">
        <v>-10</v>
      </c>
      <c r="S51" s="33">
        <f t="shared" si="34"/>
        <v>-30.017091768414694</v>
      </c>
      <c r="T51" s="97">
        <f t="shared" si="23"/>
        <v>9.9607220891336293E-4</v>
      </c>
      <c r="U51" s="34">
        <v>-13</v>
      </c>
      <c r="V51" s="33">
        <f t="shared" si="37"/>
        <v>-33.017091768414694</v>
      </c>
      <c r="W51" s="97">
        <f t="shared" si="35"/>
        <v>4.9921867487829491E-4</v>
      </c>
      <c r="X51" s="34">
        <v>-13</v>
      </c>
      <c r="Y51" s="33">
        <f t="shared" si="36"/>
        <v>-33.017091768414694</v>
      </c>
      <c r="Z51" s="97">
        <f t="shared" si="21"/>
        <v>4.9921867487829491E-4</v>
      </c>
    </row>
    <row r="52" spans="2:26" x14ac:dyDescent="0.2">
      <c r="B52" s="13">
        <v>3150</v>
      </c>
      <c r="C52" s="33">
        <f>'3º Alta Frec'!H49</f>
        <v>21.249868070572244</v>
      </c>
      <c r="D52" s="33">
        <f>'3º Alta Frec'!R49</f>
        <v>17.840259542595444</v>
      </c>
      <c r="E52" s="34">
        <f t="shared" si="19"/>
        <v>2</v>
      </c>
      <c r="F52" s="112">
        <f t="shared" si="24"/>
        <v>19.218713023777696</v>
      </c>
      <c r="G52" s="13">
        <v>56</v>
      </c>
      <c r="H52" s="18">
        <f t="shared" si="29"/>
        <v>30</v>
      </c>
      <c r="I52" s="18">
        <f t="shared" si="30"/>
        <v>29</v>
      </c>
      <c r="J52" s="18">
        <f t="shared" si="31"/>
        <v>28</v>
      </c>
      <c r="K52" s="79">
        <f t="shared" si="25"/>
        <v>0</v>
      </c>
      <c r="L52" s="33">
        <f t="shared" si="26"/>
        <v>0</v>
      </c>
      <c r="M52" s="98">
        <f t="shared" si="27"/>
        <v>0</v>
      </c>
      <c r="N52" s="66">
        <f t="shared" si="28"/>
        <v>0</v>
      </c>
      <c r="O52" s="99">
        <v>-9</v>
      </c>
      <c r="P52" s="33">
        <f t="shared" si="32"/>
        <v>-28.218713023777696</v>
      </c>
      <c r="Q52" s="97">
        <f t="shared" si="33"/>
        <v>1.5070535961045376E-3</v>
      </c>
      <c r="R52" s="34">
        <v>-10</v>
      </c>
      <c r="S52" s="33">
        <f t="shared" si="34"/>
        <v>-29.218713023777696</v>
      </c>
      <c r="T52" s="97">
        <f t="shared" si="23"/>
        <v>1.1970952226285987E-3</v>
      </c>
      <c r="U52" s="34">
        <v>-15</v>
      </c>
      <c r="V52" s="33">
        <f t="shared" si="37"/>
        <v>-34.218713023777696</v>
      </c>
      <c r="W52" s="97">
        <f t="shared" si="35"/>
        <v>3.785547479612709E-4</v>
      </c>
      <c r="X52" s="34">
        <v>-15</v>
      </c>
      <c r="Y52" s="33">
        <f t="shared" si="36"/>
        <v>-34.218713023777696</v>
      </c>
      <c r="Z52" s="97">
        <f t="shared" si="21"/>
        <v>3.785547479612709E-4</v>
      </c>
    </row>
    <row r="53" spans="2:26" x14ac:dyDescent="0.2">
      <c r="B53" s="13">
        <v>4000</v>
      </c>
      <c r="C53" s="33">
        <f>'3º Alta Frec'!H50</f>
        <v>23.771435353478481</v>
      </c>
      <c r="D53" s="33">
        <f>'3º Alta Frec'!R50</f>
        <v>19.272511832467345</v>
      </c>
      <c r="E53" s="34">
        <f t="shared" si="19"/>
        <v>2</v>
      </c>
      <c r="F53" s="112">
        <f t="shared" si="24"/>
        <v>20.963735043172484</v>
      </c>
      <c r="G53" s="13"/>
      <c r="H53" s="18"/>
      <c r="I53" s="18"/>
      <c r="J53" s="18"/>
      <c r="K53" s="13"/>
      <c r="L53" s="18"/>
      <c r="M53" s="95"/>
      <c r="N53" s="66"/>
      <c r="O53" s="99"/>
      <c r="P53" s="18"/>
      <c r="Q53" s="97"/>
      <c r="R53" s="34">
        <v>-10</v>
      </c>
      <c r="S53" s="33">
        <f t="shared" si="34"/>
        <v>-30.963735043172484</v>
      </c>
      <c r="T53" s="97">
        <f t="shared" si="23"/>
        <v>8.0098889622510377E-4</v>
      </c>
      <c r="U53" s="18"/>
      <c r="V53" s="18"/>
      <c r="W53" s="97"/>
      <c r="X53" s="34">
        <v>-16</v>
      </c>
      <c r="Y53" s="33">
        <f t="shared" si="36"/>
        <v>-36.963735043172484</v>
      </c>
      <c r="Z53" s="97">
        <f t="shared" si="21"/>
        <v>2.0119931402176722E-4</v>
      </c>
    </row>
    <row r="54" spans="2:26" x14ac:dyDescent="0.2">
      <c r="B54" s="15">
        <v>5000</v>
      </c>
      <c r="C54" s="23">
        <f>'3º Alta Frec'!H51</f>
        <v>24.508081153689435</v>
      </c>
      <c r="D54" s="23">
        <f>'3º Alta Frec'!R51</f>
        <v>21.758217398604874</v>
      </c>
      <c r="E54" s="24">
        <f t="shared" si="19"/>
        <v>2</v>
      </c>
      <c r="F54" s="113">
        <f t="shared" si="24"/>
        <v>22.919046006564781</v>
      </c>
      <c r="G54" s="15"/>
      <c r="H54" s="16"/>
      <c r="I54" s="16"/>
      <c r="J54" s="16"/>
      <c r="K54" s="13"/>
      <c r="L54" s="18"/>
      <c r="M54" s="95"/>
      <c r="N54" s="66"/>
      <c r="O54" s="13"/>
      <c r="P54" s="18"/>
      <c r="Q54" s="97"/>
      <c r="R54" s="34">
        <v>-10</v>
      </c>
      <c r="S54" s="33">
        <f t="shared" si="34"/>
        <v>-32.919046006564784</v>
      </c>
      <c r="T54" s="97">
        <f t="shared" si="23"/>
        <v>5.1061715242801823E-4</v>
      </c>
      <c r="U54" s="18"/>
      <c r="V54" s="18"/>
      <c r="W54" s="97"/>
      <c r="X54" s="34">
        <v>-18</v>
      </c>
      <c r="Y54" s="33">
        <f t="shared" si="36"/>
        <v>-40.919046006564784</v>
      </c>
      <c r="Z54" s="97">
        <f t="shared" si="21"/>
        <v>8.092736488370438E-5</v>
      </c>
    </row>
    <row r="55" spans="2:26" x14ac:dyDescent="0.2">
      <c r="K55" s="80">
        <f>SUM(K37:K52)</f>
        <v>0</v>
      </c>
      <c r="L55" s="23">
        <f t="shared" ref="L55:N55" si="38">SUM(L37:L52)</f>
        <v>27.963769683612799</v>
      </c>
      <c r="M55" s="102">
        <f t="shared" si="38"/>
        <v>30.963769683612799</v>
      </c>
      <c r="N55" s="59">
        <f t="shared" si="38"/>
        <v>34.663253150144286</v>
      </c>
      <c r="O55" s="79" t="s">
        <v>135</v>
      </c>
      <c r="P55" s="33">
        <f>52-27</f>
        <v>25</v>
      </c>
      <c r="Q55" s="103">
        <f>-10*LOG10(SUM(Q34:Q54))</f>
        <v>21.736831284101825</v>
      </c>
      <c r="R55" s="34"/>
      <c r="S55" s="33"/>
      <c r="T55" s="103">
        <f>-10*LOG10(SUM(T34:T54))</f>
        <v>21.7525116505734</v>
      </c>
      <c r="U55" s="33"/>
      <c r="V55" s="33"/>
      <c r="W55" s="103">
        <f>-10*LOG10(SUM(W34:W54))</f>
        <v>21.398650303647344</v>
      </c>
      <c r="X55" s="34"/>
      <c r="Y55" s="33"/>
      <c r="Z55" s="103">
        <f>-10*LOG10(SUM(Z34:Z54))</f>
        <v>20.714094595210454</v>
      </c>
    </row>
    <row r="56" spans="2:26" x14ac:dyDescent="0.2">
      <c r="O56" s="15"/>
      <c r="P56" s="16"/>
      <c r="Q56" s="114">
        <f>ROUND(Q55,0)-P55</f>
        <v>-3</v>
      </c>
      <c r="R56" s="16"/>
      <c r="S56" s="16"/>
      <c r="T56" s="114">
        <f>ROUND(T55,0)-P55</f>
        <v>-3</v>
      </c>
      <c r="U56" s="16"/>
      <c r="V56" s="16"/>
      <c r="W56" s="114">
        <f>ROUND(W55,0)-P55</f>
        <v>-4</v>
      </c>
      <c r="X56" s="16"/>
      <c r="Y56" s="16"/>
      <c r="Z56" s="114">
        <f>ROUND(Z55,0)-P55</f>
        <v>-4</v>
      </c>
    </row>
    <row r="57" spans="2:26" x14ac:dyDescent="0.2">
      <c r="O57" s="18"/>
      <c r="P57" s="18"/>
      <c r="Q57" s="34"/>
      <c r="R57" s="18"/>
      <c r="S57" s="18"/>
      <c r="T57" s="34"/>
      <c r="U57" s="18"/>
      <c r="V57" s="18"/>
      <c r="W57" s="34"/>
      <c r="X57" s="18"/>
      <c r="Y57" s="18"/>
      <c r="Z57" s="34"/>
    </row>
    <row r="58" spans="2:26" x14ac:dyDescent="0.2">
      <c r="O58" s="18"/>
      <c r="P58" s="18"/>
      <c r="Q58" s="34"/>
      <c r="R58" s="18"/>
      <c r="S58" s="18"/>
      <c r="T58" s="34"/>
      <c r="U58" s="18"/>
      <c r="V58" s="18"/>
      <c r="W58" s="34"/>
      <c r="X58" s="18"/>
      <c r="Y58" s="18"/>
      <c r="Z58" s="34"/>
    </row>
    <row r="59" spans="2:26" x14ac:dyDescent="0.2">
      <c r="D59" s="2" t="s">
        <v>92</v>
      </c>
      <c r="O59" s="18"/>
      <c r="P59" s="18"/>
      <c r="Q59" s="34"/>
      <c r="R59" s="18"/>
      <c r="S59" s="18"/>
      <c r="T59" s="34"/>
      <c r="U59" s="18"/>
      <c r="V59" s="18"/>
      <c r="W59" s="34"/>
      <c r="X59" s="18"/>
      <c r="Y59" s="18"/>
      <c r="Z59" s="34"/>
    </row>
    <row r="60" spans="2:26" x14ac:dyDescent="0.2">
      <c r="F60" s="172" t="s">
        <v>44</v>
      </c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4"/>
    </row>
    <row r="61" spans="2:26" x14ac:dyDescent="0.2">
      <c r="B61" s="61" t="s">
        <v>44</v>
      </c>
      <c r="C61" s="62"/>
      <c r="D61" s="62"/>
      <c r="E61" s="62"/>
      <c r="F61" s="184"/>
      <c r="G61" s="162" t="s">
        <v>96</v>
      </c>
      <c r="H61" s="163"/>
      <c r="I61" s="163"/>
      <c r="J61" s="163"/>
      <c r="K61" s="186" t="s">
        <v>95</v>
      </c>
      <c r="L61" s="187"/>
      <c r="M61" s="187"/>
      <c r="N61" s="188"/>
      <c r="O61" s="189" t="s">
        <v>99</v>
      </c>
      <c r="P61" s="190"/>
      <c r="Q61" s="191"/>
      <c r="R61" s="192" t="s">
        <v>97</v>
      </c>
      <c r="S61" s="192"/>
      <c r="T61" s="193"/>
      <c r="U61" s="190" t="s">
        <v>100</v>
      </c>
      <c r="V61" s="190"/>
      <c r="W61" s="191"/>
      <c r="X61" s="192" t="s">
        <v>98</v>
      </c>
      <c r="Y61" s="192"/>
      <c r="Z61" s="193"/>
    </row>
    <row r="62" spans="2:26" ht="34" customHeight="1" x14ac:dyDescent="0.2">
      <c r="B62" s="28"/>
      <c r="C62" s="29"/>
      <c r="D62" s="29"/>
      <c r="E62" s="29"/>
      <c r="F62" s="185"/>
      <c r="G62" s="15" t="s">
        <v>94</v>
      </c>
      <c r="H62" s="16" t="s">
        <v>85</v>
      </c>
      <c r="I62" s="107" t="s">
        <v>84</v>
      </c>
      <c r="J62" s="16" t="s">
        <v>86</v>
      </c>
      <c r="K62" s="15" t="s">
        <v>94</v>
      </c>
      <c r="L62" s="16" t="s">
        <v>85</v>
      </c>
      <c r="M62" s="16" t="s">
        <v>84</v>
      </c>
      <c r="N62" s="108" t="s">
        <v>86</v>
      </c>
      <c r="O62" s="91" t="s">
        <v>126</v>
      </c>
      <c r="P62" s="75"/>
      <c r="Q62" s="92"/>
      <c r="R62" s="88" t="s">
        <v>126</v>
      </c>
      <c r="S62" s="88"/>
      <c r="T62" s="92"/>
      <c r="U62" s="88" t="s">
        <v>126</v>
      </c>
      <c r="V62" s="75"/>
      <c r="W62" s="92"/>
      <c r="X62" s="88" t="s">
        <v>126</v>
      </c>
      <c r="Y62" s="88"/>
      <c r="Z62" s="92"/>
    </row>
    <row r="63" spans="2:26" x14ac:dyDescent="0.2">
      <c r="B63" s="13">
        <v>50</v>
      </c>
      <c r="C63" s="33">
        <f>'3º Alta Frec'!H58</f>
        <v>24.680896633178467</v>
      </c>
      <c r="D63" s="33">
        <f>'3º Alta Frec'!R58</f>
        <v>20.723412121435519</v>
      </c>
      <c r="E63" s="34">
        <f t="shared" ref="E63:E83" si="39">COUNT(C63:D63)</f>
        <v>2</v>
      </c>
      <c r="F63" s="111">
        <f t="shared" ref="F63:F83" si="40">-10*LOG10((10^(-C63/10)+10^(-D63/10))/E63)</f>
        <v>22.266158835473902</v>
      </c>
      <c r="G63" s="13"/>
      <c r="H63" s="18"/>
      <c r="I63" s="18"/>
      <c r="J63" s="18"/>
      <c r="K63" s="13"/>
      <c r="L63" s="18"/>
      <c r="M63" s="95"/>
      <c r="N63" s="96"/>
      <c r="O63" s="13"/>
      <c r="P63" s="18"/>
      <c r="Q63" s="97"/>
      <c r="R63" s="34">
        <v>-41</v>
      </c>
      <c r="S63" s="33">
        <f>R63-F63</f>
        <v>-63.266158835473902</v>
      </c>
      <c r="T63" s="97">
        <f>10^(S63/10)</f>
        <v>4.7139407165846048E-7</v>
      </c>
      <c r="U63" s="18"/>
      <c r="V63" s="18"/>
      <c r="W63" s="97"/>
      <c r="X63" s="34">
        <v>-25</v>
      </c>
      <c r="Y63" s="33">
        <f t="shared" ref="Y63" si="41">X63-F63</f>
        <v>-47.266158835473902</v>
      </c>
      <c r="Z63" s="97">
        <f t="shared" ref="Z63:Z83" si="42">10^(Y63/10)</f>
        <v>1.8766536008364202E-5</v>
      </c>
    </row>
    <row r="64" spans="2:26" x14ac:dyDescent="0.2">
      <c r="B64" s="13">
        <v>63</v>
      </c>
      <c r="C64" s="33">
        <f>'3º Alta Frec'!H59</f>
        <v>24.391811100247381</v>
      </c>
      <c r="D64" s="33">
        <f>'3º Alta Frec'!R59</f>
        <v>34.038384578755561</v>
      </c>
      <c r="E64" s="34">
        <f t="shared" si="39"/>
        <v>2</v>
      </c>
      <c r="F64" s="112">
        <f t="shared" si="40"/>
        <v>26.954839314499907</v>
      </c>
      <c r="G64" s="13"/>
      <c r="H64" s="18"/>
      <c r="I64" s="18"/>
      <c r="J64" s="18"/>
      <c r="K64" s="13"/>
      <c r="L64" s="18"/>
      <c r="M64" s="95"/>
      <c r="N64" s="96"/>
      <c r="O64" s="13"/>
      <c r="P64" s="18"/>
      <c r="Q64" s="97"/>
      <c r="R64" s="34">
        <v>-37</v>
      </c>
      <c r="S64" s="33">
        <f t="shared" ref="S64:S65" si="43">R64-F64</f>
        <v>-63.954839314499907</v>
      </c>
      <c r="T64" s="97">
        <f t="shared" ref="T64:T83" si="44">10^(S64/10)</f>
        <v>4.0226853933898117E-7</v>
      </c>
      <c r="U64" s="18"/>
      <c r="V64" s="18"/>
      <c r="W64" s="97"/>
      <c r="X64" s="34">
        <v>-23</v>
      </c>
      <c r="Y64" s="33">
        <f>X64-F64</f>
        <v>-49.954839314499907</v>
      </c>
      <c r="Z64" s="97">
        <f t="shared" si="42"/>
        <v>1.0104528857887635E-5</v>
      </c>
    </row>
    <row r="65" spans="2:26" x14ac:dyDescent="0.2">
      <c r="B65" s="13">
        <v>80</v>
      </c>
      <c r="C65" s="33">
        <f>'3º Alta Frec'!H60</f>
        <v>23.873186117445787</v>
      </c>
      <c r="D65" s="33">
        <f>'3º Alta Frec'!R60</f>
        <v>32.524936447747741</v>
      </c>
      <c r="E65" s="34">
        <f t="shared" si="39"/>
        <v>2</v>
      </c>
      <c r="F65" s="112">
        <f t="shared" si="40"/>
        <v>26.328161104476937</v>
      </c>
      <c r="G65" s="13"/>
      <c r="H65" s="18"/>
      <c r="I65" s="18"/>
      <c r="J65" s="18"/>
      <c r="K65" s="13"/>
      <c r="L65" s="18"/>
      <c r="M65" s="95"/>
      <c r="N65" s="96"/>
      <c r="O65" s="13"/>
      <c r="P65" s="18"/>
      <c r="Q65" s="97"/>
      <c r="R65" s="34">
        <v>-34</v>
      </c>
      <c r="S65" s="33">
        <f t="shared" si="43"/>
        <v>-60.328161104476933</v>
      </c>
      <c r="T65" s="97">
        <f t="shared" si="44"/>
        <v>9.2722234600223929E-7</v>
      </c>
      <c r="U65" s="18"/>
      <c r="V65" s="18"/>
      <c r="W65" s="97"/>
      <c r="X65" s="34">
        <v>-21</v>
      </c>
      <c r="Y65" s="33">
        <f t="shared" ref="Y65" si="45">X65-F65</f>
        <v>-47.328161104476933</v>
      </c>
      <c r="Z65" s="97">
        <f t="shared" si="42"/>
        <v>1.8500518045753036E-5</v>
      </c>
    </row>
    <row r="66" spans="2:26" x14ac:dyDescent="0.2">
      <c r="B66" s="13">
        <v>100</v>
      </c>
      <c r="C66" s="33">
        <f>'3º Alta Frec'!H61</f>
        <v>24.46580034920515</v>
      </c>
      <c r="D66" s="33">
        <f>'3º Alta Frec'!R61</f>
        <v>34.06295428423644</v>
      </c>
      <c r="E66" s="34">
        <f t="shared" si="39"/>
        <v>2</v>
      </c>
      <c r="F66" s="112">
        <f t="shared" si="40"/>
        <v>27.023967352767983</v>
      </c>
      <c r="G66" s="13">
        <v>33</v>
      </c>
      <c r="H66" s="18">
        <f>G66-16</f>
        <v>17</v>
      </c>
      <c r="I66" s="18">
        <f>G66-17</f>
        <v>16</v>
      </c>
      <c r="J66" s="18">
        <f>G66-18</f>
        <v>15</v>
      </c>
      <c r="K66" s="79">
        <f t="shared" ref="K66:K81" si="46">IF((F66-G66)&gt;0,F66-G66,0)</f>
        <v>0</v>
      </c>
      <c r="L66" s="33">
        <f t="shared" ref="L66:L81" si="47">IF((F66-H66)&gt;0,F66-H66,0)</f>
        <v>10.023967352767983</v>
      </c>
      <c r="M66" s="98">
        <f t="shared" ref="M66:M81" si="48">IF((F66-I66)&gt;0,F66-I66,0)</f>
        <v>11.023967352767983</v>
      </c>
      <c r="N66" s="66">
        <f t="shared" ref="N66:N81" si="49">IF((F66-J66)&gt;0,F66-J66,0)</f>
        <v>12.023967352767983</v>
      </c>
      <c r="O66" s="99">
        <v>-29</v>
      </c>
      <c r="P66" s="33">
        <f>O66-F66</f>
        <v>-56.023967352767983</v>
      </c>
      <c r="Q66" s="97">
        <f>10^(P66/10)</f>
        <v>2.4980622973347087E-6</v>
      </c>
      <c r="R66" s="34">
        <v>-30</v>
      </c>
      <c r="S66" s="33">
        <f>R66-F66</f>
        <v>-57.023967352767983</v>
      </c>
      <c r="T66" s="97">
        <f>10^(S66/10)</f>
        <v>1.9842814148731643E-6</v>
      </c>
      <c r="U66" s="34">
        <v>-20</v>
      </c>
      <c r="V66" s="33">
        <f>U66-F66</f>
        <v>-47.023967352767983</v>
      </c>
      <c r="W66" s="97">
        <f>10^(V66/10)</f>
        <v>1.9842814148731627E-5</v>
      </c>
      <c r="X66" s="34">
        <v>-20</v>
      </c>
      <c r="Y66" s="33">
        <f>X66-F66</f>
        <v>-47.023967352767983</v>
      </c>
      <c r="Z66" s="97">
        <f>10^(Y66/10)</f>
        <v>1.9842814148731627E-5</v>
      </c>
    </row>
    <row r="67" spans="2:26" x14ac:dyDescent="0.2">
      <c r="B67" s="13">
        <v>125</v>
      </c>
      <c r="C67" s="33">
        <f>'3º Alta Frec'!H62</f>
        <v>20.99191847061287</v>
      </c>
      <c r="D67" s="33">
        <f>'3º Alta Frec'!R62</f>
        <v>35.129119501337527</v>
      </c>
      <c r="E67" s="34">
        <f t="shared" si="39"/>
        <v>2</v>
      </c>
      <c r="F67" s="112">
        <f t="shared" si="40"/>
        <v>23.837849455102706</v>
      </c>
      <c r="G67" s="13">
        <v>36</v>
      </c>
      <c r="H67" s="18">
        <f t="shared" ref="H67:H81" si="50">G67-16</f>
        <v>20</v>
      </c>
      <c r="I67" s="18">
        <f t="shared" ref="I67:I81" si="51">G67-17</f>
        <v>19</v>
      </c>
      <c r="J67" s="18">
        <f t="shared" ref="J67:J81" si="52">G67-18</f>
        <v>18</v>
      </c>
      <c r="K67" s="79">
        <f t="shared" si="46"/>
        <v>0</v>
      </c>
      <c r="L67" s="33">
        <f t="shared" si="47"/>
        <v>3.837849455102706</v>
      </c>
      <c r="M67" s="98">
        <f t="shared" si="48"/>
        <v>4.837849455102706</v>
      </c>
      <c r="N67" s="66">
        <f t="shared" si="49"/>
        <v>5.837849455102706</v>
      </c>
      <c r="O67" s="99">
        <v>-26</v>
      </c>
      <c r="P67" s="33">
        <f t="shared" ref="P67:P81" si="53">O67-F67</f>
        <v>-49.837849455102706</v>
      </c>
      <c r="Q67" s="97">
        <f>10^(P67/10)</f>
        <v>1.0380423076728662E-5</v>
      </c>
      <c r="R67" s="34">
        <v>-27</v>
      </c>
      <c r="S67" s="33">
        <f t="shared" ref="S67:S83" si="54">R67-F67</f>
        <v>-50.837849455102706</v>
      </c>
      <c r="T67" s="97">
        <f t="shared" si="44"/>
        <v>8.2454631382290648E-6</v>
      </c>
      <c r="U67" s="34">
        <v>-20</v>
      </c>
      <c r="V67" s="33">
        <f>U67-F67</f>
        <v>-43.837849455102706</v>
      </c>
      <c r="W67" s="97">
        <f t="shared" ref="W67:W81" si="55">10^(V67/10)</f>
        <v>4.1325208602246813E-5</v>
      </c>
      <c r="X67" s="34">
        <v>-20</v>
      </c>
      <c r="Y67" s="33">
        <f t="shared" ref="Y67:Y83" si="56">X67-F67</f>
        <v>-43.837849455102706</v>
      </c>
      <c r="Z67" s="97">
        <f t="shared" si="42"/>
        <v>4.1325208602246813E-5</v>
      </c>
    </row>
    <row r="68" spans="2:26" x14ac:dyDescent="0.2">
      <c r="B68" s="13">
        <v>160</v>
      </c>
      <c r="C68" s="33">
        <f>'3º Alta Frec'!H63</f>
        <v>23.06966510619166</v>
      </c>
      <c r="D68" s="33">
        <f>'3º Alta Frec'!R63</f>
        <v>29.219998934133098</v>
      </c>
      <c r="E68" s="34">
        <f t="shared" si="39"/>
        <v>2</v>
      </c>
      <c r="F68" s="112">
        <f t="shared" si="40"/>
        <v>25.136503530562312</v>
      </c>
      <c r="G68" s="13">
        <v>39</v>
      </c>
      <c r="H68" s="18">
        <f t="shared" si="50"/>
        <v>23</v>
      </c>
      <c r="I68" s="18">
        <f t="shared" si="51"/>
        <v>22</v>
      </c>
      <c r="J68" s="18">
        <f t="shared" si="52"/>
        <v>21</v>
      </c>
      <c r="K68" s="79">
        <f t="shared" si="46"/>
        <v>0</v>
      </c>
      <c r="L68" s="33">
        <f t="shared" si="47"/>
        <v>2.1365035305623117</v>
      </c>
      <c r="M68" s="98">
        <f t="shared" si="48"/>
        <v>3.1365035305623117</v>
      </c>
      <c r="N68" s="66">
        <f t="shared" si="49"/>
        <v>4.1365035305623117</v>
      </c>
      <c r="O68" s="99">
        <v>-23</v>
      </c>
      <c r="P68" s="33">
        <f t="shared" si="53"/>
        <v>-48.136503530562308</v>
      </c>
      <c r="Q68" s="97">
        <f t="shared" ref="Q68:Q81" si="57">10^(P68/10)</f>
        <v>1.5358529878925359E-5</v>
      </c>
      <c r="R68" s="34">
        <v>-24</v>
      </c>
      <c r="S68" s="33">
        <f t="shared" si="54"/>
        <v>-49.136503530562308</v>
      </c>
      <c r="T68" s="97">
        <f t="shared" si="44"/>
        <v>1.2199713926686902E-5</v>
      </c>
      <c r="U68" s="34">
        <v>-18</v>
      </c>
      <c r="V68" s="33">
        <f t="shared" ref="V68:V81" si="58">U68-F68</f>
        <v>-43.136503530562308</v>
      </c>
      <c r="W68" s="97">
        <f t="shared" si="55"/>
        <v>4.8567935929154257E-5</v>
      </c>
      <c r="X68" s="34">
        <v>-18</v>
      </c>
      <c r="Y68" s="33">
        <f t="shared" si="56"/>
        <v>-43.136503530562308</v>
      </c>
      <c r="Z68" s="97">
        <f t="shared" si="42"/>
        <v>4.8567935929154257E-5</v>
      </c>
    </row>
    <row r="69" spans="2:26" x14ac:dyDescent="0.2">
      <c r="B69" s="13">
        <v>200</v>
      </c>
      <c r="C69" s="33">
        <f>'3º Alta Frec'!H64</f>
        <v>27.930295513250602</v>
      </c>
      <c r="D69" s="33">
        <f>'3º Alta Frec'!R64</f>
        <v>38.903759267218732</v>
      </c>
      <c r="E69" s="34">
        <f t="shared" si="39"/>
        <v>2</v>
      </c>
      <c r="F69" s="112">
        <f t="shared" si="40"/>
        <v>30.606680996106185</v>
      </c>
      <c r="G69" s="13">
        <v>42</v>
      </c>
      <c r="H69" s="18">
        <f t="shared" si="50"/>
        <v>26</v>
      </c>
      <c r="I69" s="18">
        <f t="shared" si="51"/>
        <v>25</v>
      </c>
      <c r="J69" s="18">
        <f t="shared" si="52"/>
        <v>24</v>
      </c>
      <c r="K69" s="79">
        <f t="shared" si="46"/>
        <v>0</v>
      </c>
      <c r="L69" s="33">
        <f t="shared" si="47"/>
        <v>4.606680996106185</v>
      </c>
      <c r="M69" s="98">
        <f t="shared" si="48"/>
        <v>5.606680996106185</v>
      </c>
      <c r="N69" s="66">
        <f t="shared" si="49"/>
        <v>6.606680996106185</v>
      </c>
      <c r="O69" s="99">
        <v>-21</v>
      </c>
      <c r="P69" s="33">
        <f t="shared" si="53"/>
        <v>-51.606680996106185</v>
      </c>
      <c r="Q69" s="97">
        <f t="shared" si="57"/>
        <v>6.9076750665582302E-6</v>
      </c>
      <c r="R69" s="34">
        <v>-22</v>
      </c>
      <c r="S69" s="33">
        <f t="shared" si="54"/>
        <v>-52.606680996106185</v>
      </c>
      <c r="T69" s="97">
        <f t="shared" si="44"/>
        <v>5.4869613416681383E-6</v>
      </c>
      <c r="U69" s="34">
        <v>-16</v>
      </c>
      <c r="V69" s="33">
        <f t="shared" si="58"/>
        <v>-46.606680996106185</v>
      </c>
      <c r="W69" s="97">
        <f t="shared" si="55"/>
        <v>2.1843986546679185E-5</v>
      </c>
      <c r="X69" s="34">
        <v>-16</v>
      </c>
      <c r="Y69" s="33">
        <f t="shared" si="56"/>
        <v>-46.606680996106185</v>
      </c>
      <c r="Z69" s="97">
        <f t="shared" si="42"/>
        <v>2.1843986546679185E-5</v>
      </c>
    </row>
    <row r="70" spans="2:26" x14ac:dyDescent="0.2">
      <c r="B70" s="13">
        <v>250</v>
      </c>
      <c r="C70" s="33">
        <f>'3º Alta Frec'!H65</f>
        <v>29.354130617478123</v>
      </c>
      <c r="D70" s="33">
        <f>'3º Alta Frec'!R65</f>
        <v>37.455042344770625</v>
      </c>
      <c r="E70" s="34">
        <f t="shared" si="39"/>
        <v>2</v>
      </c>
      <c r="F70" s="112">
        <f t="shared" si="40"/>
        <v>31.739177981774741</v>
      </c>
      <c r="G70" s="100">
        <v>45</v>
      </c>
      <c r="H70" s="18">
        <f t="shared" si="50"/>
        <v>29</v>
      </c>
      <c r="I70" s="18">
        <f t="shared" si="51"/>
        <v>28</v>
      </c>
      <c r="J70" s="18">
        <f t="shared" si="52"/>
        <v>27</v>
      </c>
      <c r="K70" s="79">
        <f t="shared" si="46"/>
        <v>0</v>
      </c>
      <c r="L70" s="33">
        <f t="shared" si="47"/>
        <v>2.7391779817747413</v>
      </c>
      <c r="M70" s="98">
        <f t="shared" si="48"/>
        <v>3.7391779817747413</v>
      </c>
      <c r="N70" s="66">
        <f t="shared" si="49"/>
        <v>4.7391779817747413</v>
      </c>
      <c r="O70" s="99">
        <v>-19</v>
      </c>
      <c r="P70" s="33">
        <f t="shared" si="53"/>
        <v>-50.739177981774745</v>
      </c>
      <c r="Q70" s="97">
        <f t="shared" si="57"/>
        <v>8.4349439648423659E-6</v>
      </c>
      <c r="R70" s="34">
        <v>-20</v>
      </c>
      <c r="S70" s="33">
        <f t="shared" si="54"/>
        <v>-51.739177981774745</v>
      </c>
      <c r="T70" s="97">
        <f t="shared" si="44"/>
        <v>6.7001141495914628E-6</v>
      </c>
      <c r="U70" s="34">
        <v>-15</v>
      </c>
      <c r="V70" s="33">
        <f t="shared" si="58"/>
        <v>-46.739177981774745</v>
      </c>
      <c r="W70" s="97">
        <f t="shared" si="55"/>
        <v>2.1187621295831116E-5</v>
      </c>
      <c r="X70" s="34">
        <v>-15</v>
      </c>
      <c r="Y70" s="33">
        <f t="shared" si="56"/>
        <v>-46.739177981774745</v>
      </c>
      <c r="Z70" s="97">
        <f t="shared" si="42"/>
        <v>2.1187621295831116E-5</v>
      </c>
    </row>
    <row r="71" spans="2:26" x14ac:dyDescent="0.2">
      <c r="B71" s="13">
        <v>315</v>
      </c>
      <c r="C71" s="33">
        <f>'3º Alta Frec'!H66</f>
        <v>28.162019957312854</v>
      </c>
      <c r="D71" s="33">
        <f>'3º Alta Frec'!R66</f>
        <v>32.102100415782466</v>
      </c>
      <c r="E71" s="34">
        <f t="shared" si="39"/>
        <v>2</v>
      </c>
      <c r="F71" s="112">
        <f t="shared" si="40"/>
        <v>29.699769005509737</v>
      </c>
      <c r="G71" s="100">
        <v>48</v>
      </c>
      <c r="H71" s="18">
        <f t="shared" si="50"/>
        <v>32</v>
      </c>
      <c r="I71" s="18">
        <f t="shared" si="51"/>
        <v>31</v>
      </c>
      <c r="J71" s="18">
        <f t="shared" si="52"/>
        <v>30</v>
      </c>
      <c r="K71" s="79">
        <f t="shared" si="46"/>
        <v>0</v>
      </c>
      <c r="L71" s="33">
        <f t="shared" si="47"/>
        <v>0</v>
      </c>
      <c r="M71" s="98">
        <f t="shared" si="48"/>
        <v>0</v>
      </c>
      <c r="N71" s="66">
        <f t="shared" si="49"/>
        <v>0</v>
      </c>
      <c r="O71" s="99">
        <v>-17</v>
      </c>
      <c r="P71" s="33">
        <f t="shared" si="53"/>
        <v>-46.699769005509737</v>
      </c>
      <c r="Q71" s="97">
        <f t="shared" si="57"/>
        <v>2.1380758074096957E-5</v>
      </c>
      <c r="R71" s="34">
        <v>-18</v>
      </c>
      <c r="S71" s="33">
        <f t="shared" si="54"/>
        <v>-47.699769005509737</v>
      </c>
      <c r="T71" s="97">
        <f t="shared" si="44"/>
        <v>1.698333981806435E-5</v>
      </c>
      <c r="U71" s="34">
        <v>-14</v>
      </c>
      <c r="V71" s="33">
        <f t="shared" si="58"/>
        <v>-43.699769005509737</v>
      </c>
      <c r="W71" s="97">
        <f t="shared" si="55"/>
        <v>4.2660220850712211E-5</v>
      </c>
      <c r="X71" s="34">
        <v>-14</v>
      </c>
      <c r="Y71" s="33">
        <f t="shared" si="56"/>
        <v>-43.699769005509737</v>
      </c>
      <c r="Z71" s="97">
        <f t="shared" si="42"/>
        <v>4.2660220850712211E-5</v>
      </c>
    </row>
    <row r="72" spans="2:26" x14ac:dyDescent="0.2">
      <c r="B72" s="13">
        <v>400</v>
      </c>
      <c r="C72" s="33">
        <f>'3º Alta Frec'!H67</f>
        <v>27.694660816078528</v>
      </c>
      <c r="D72" s="33">
        <f>'3º Alta Frec'!R67</f>
        <v>35.484267926223474</v>
      </c>
      <c r="E72" s="34">
        <f t="shared" si="39"/>
        <v>2</v>
      </c>
      <c r="F72" s="112">
        <f t="shared" si="40"/>
        <v>30.036648325448901</v>
      </c>
      <c r="G72" s="100">
        <v>51</v>
      </c>
      <c r="H72" s="18">
        <f t="shared" si="50"/>
        <v>35</v>
      </c>
      <c r="I72" s="18">
        <f t="shared" si="51"/>
        <v>34</v>
      </c>
      <c r="J72" s="18">
        <f t="shared" si="52"/>
        <v>33</v>
      </c>
      <c r="K72" s="79">
        <f t="shared" si="46"/>
        <v>0</v>
      </c>
      <c r="L72" s="33">
        <f t="shared" si="47"/>
        <v>0</v>
      </c>
      <c r="M72" s="98">
        <f t="shared" si="48"/>
        <v>0</v>
      </c>
      <c r="N72" s="66">
        <f t="shared" si="49"/>
        <v>0</v>
      </c>
      <c r="O72" s="99">
        <v>-15</v>
      </c>
      <c r="P72" s="33">
        <f t="shared" si="53"/>
        <v>-45.036648325448901</v>
      </c>
      <c r="Q72" s="97">
        <f t="shared" si="57"/>
        <v>3.135704775875434E-5</v>
      </c>
      <c r="R72" s="34">
        <v>-16</v>
      </c>
      <c r="S72" s="33">
        <f t="shared" si="54"/>
        <v>-46.036648325448901</v>
      </c>
      <c r="T72" s="97">
        <f t="shared" si="44"/>
        <v>2.4907788392376347E-5</v>
      </c>
      <c r="U72" s="34">
        <v>-13</v>
      </c>
      <c r="V72" s="33">
        <f t="shared" si="58"/>
        <v>-43.036648325448901</v>
      </c>
      <c r="W72" s="97">
        <f t="shared" si="55"/>
        <v>4.9697571528527855E-5</v>
      </c>
      <c r="X72" s="34">
        <v>-13</v>
      </c>
      <c r="Y72" s="33">
        <f t="shared" si="56"/>
        <v>-43.036648325448901</v>
      </c>
      <c r="Z72" s="97">
        <f t="shared" si="42"/>
        <v>4.9697571528527855E-5</v>
      </c>
    </row>
    <row r="73" spans="2:26" x14ac:dyDescent="0.2">
      <c r="B73" s="13">
        <v>500</v>
      </c>
      <c r="C73" s="33">
        <f>'3º Alta Frec'!H68</f>
        <v>30.821427773054062</v>
      </c>
      <c r="D73" s="33">
        <f>'3º Alta Frec'!R68</f>
        <v>35.33558385277221</v>
      </c>
      <c r="E73" s="34">
        <f t="shared" si="39"/>
        <v>2</v>
      </c>
      <c r="F73" s="112">
        <f t="shared" si="40"/>
        <v>32.516635821621506</v>
      </c>
      <c r="G73" s="101">
        <v>52</v>
      </c>
      <c r="H73" s="18">
        <f t="shared" si="50"/>
        <v>36</v>
      </c>
      <c r="I73" s="18">
        <f t="shared" si="51"/>
        <v>35</v>
      </c>
      <c r="J73" s="18">
        <f t="shared" si="52"/>
        <v>34</v>
      </c>
      <c r="K73" s="79">
        <f t="shared" si="46"/>
        <v>0</v>
      </c>
      <c r="L73" s="33">
        <f t="shared" si="47"/>
        <v>0</v>
      </c>
      <c r="M73" s="98">
        <f t="shared" si="48"/>
        <v>0</v>
      </c>
      <c r="N73" s="66">
        <f t="shared" si="49"/>
        <v>0</v>
      </c>
      <c r="O73" s="99">
        <v>-13</v>
      </c>
      <c r="P73" s="33">
        <f t="shared" si="53"/>
        <v>-45.516635821621506</v>
      </c>
      <c r="Q73" s="97">
        <f t="shared" si="57"/>
        <v>2.8076076548915478E-5</v>
      </c>
      <c r="R73" s="34">
        <v>-14</v>
      </c>
      <c r="S73" s="33">
        <f t="shared" si="54"/>
        <v>-46.516635821621506</v>
      </c>
      <c r="T73" s="97">
        <f t="shared" si="44"/>
        <v>2.230162032308385E-5</v>
      </c>
      <c r="U73" s="34">
        <v>-12</v>
      </c>
      <c r="V73" s="33">
        <f t="shared" si="58"/>
        <v>-44.516635821621506</v>
      </c>
      <c r="W73" s="97">
        <f t="shared" si="55"/>
        <v>3.534568623090801E-5</v>
      </c>
      <c r="X73" s="34">
        <v>-12</v>
      </c>
      <c r="Y73" s="33">
        <f t="shared" si="56"/>
        <v>-44.516635821621506</v>
      </c>
      <c r="Z73" s="97">
        <f t="shared" si="42"/>
        <v>3.534568623090801E-5</v>
      </c>
    </row>
    <row r="74" spans="2:26" x14ac:dyDescent="0.2">
      <c r="B74" s="13">
        <v>630</v>
      </c>
      <c r="C74" s="33">
        <f>'3º Alta Frec'!H69</f>
        <v>28.677666386807299</v>
      </c>
      <c r="D74" s="33">
        <f>'3º Alta Frec'!R69</f>
        <v>38.802974936746089</v>
      </c>
      <c r="E74" s="34">
        <f t="shared" si="39"/>
        <v>2</v>
      </c>
      <c r="F74" s="112">
        <f t="shared" si="40"/>
        <v>31.285282944841338</v>
      </c>
      <c r="G74" s="13">
        <v>53</v>
      </c>
      <c r="H74" s="18">
        <f t="shared" si="50"/>
        <v>37</v>
      </c>
      <c r="I74" s="18">
        <f t="shared" si="51"/>
        <v>36</v>
      </c>
      <c r="J74" s="18">
        <f t="shared" si="52"/>
        <v>35</v>
      </c>
      <c r="K74" s="79">
        <f t="shared" si="46"/>
        <v>0</v>
      </c>
      <c r="L74" s="33">
        <f t="shared" si="47"/>
        <v>0</v>
      </c>
      <c r="M74" s="98">
        <f t="shared" si="48"/>
        <v>0</v>
      </c>
      <c r="N74" s="66">
        <f t="shared" si="49"/>
        <v>0</v>
      </c>
      <c r="O74" s="99">
        <v>-12</v>
      </c>
      <c r="P74" s="33">
        <f t="shared" si="53"/>
        <v>-43.285282944841342</v>
      </c>
      <c r="Q74" s="97">
        <f t="shared" si="57"/>
        <v>4.693228567223581E-5</v>
      </c>
      <c r="R74" s="34">
        <v>-13</v>
      </c>
      <c r="S74" s="33">
        <f t="shared" si="54"/>
        <v>-44.285282944841342</v>
      </c>
      <c r="T74" s="97">
        <f t="shared" si="44"/>
        <v>3.7279639629602789E-5</v>
      </c>
      <c r="U74" s="34">
        <v>-11</v>
      </c>
      <c r="V74" s="33">
        <f t="shared" si="58"/>
        <v>-42.285282944841342</v>
      </c>
      <c r="W74" s="97">
        <f t="shared" si="55"/>
        <v>5.9084247066361007E-5</v>
      </c>
      <c r="X74" s="34">
        <v>-11</v>
      </c>
      <c r="Y74" s="33">
        <f t="shared" si="56"/>
        <v>-42.285282944841342</v>
      </c>
      <c r="Z74" s="97">
        <f t="shared" si="42"/>
        <v>5.9084247066361007E-5</v>
      </c>
    </row>
    <row r="75" spans="2:26" x14ac:dyDescent="0.2">
      <c r="B75" s="13">
        <v>800</v>
      </c>
      <c r="C75" s="33">
        <f>'3º Alta Frec'!H70</f>
        <v>31.944725903478247</v>
      </c>
      <c r="D75" s="33">
        <f>'3º Alta Frec'!R70</f>
        <v>41.284483315165659</v>
      </c>
      <c r="E75" s="34">
        <f t="shared" si="39"/>
        <v>2</v>
      </c>
      <c r="F75" s="112">
        <f t="shared" si="40"/>
        <v>34.476753258866147</v>
      </c>
      <c r="G75" s="13">
        <v>54</v>
      </c>
      <c r="H75" s="18">
        <f t="shared" si="50"/>
        <v>38</v>
      </c>
      <c r="I75" s="18">
        <f t="shared" si="51"/>
        <v>37</v>
      </c>
      <c r="J75" s="18">
        <f t="shared" si="52"/>
        <v>36</v>
      </c>
      <c r="K75" s="79">
        <f t="shared" si="46"/>
        <v>0</v>
      </c>
      <c r="L75" s="33">
        <f t="shared" si="47"/>
        <v>0</v>
      </c>
      <c r="M75" s="98">
        <f t="shared" si="48"/>
        <v>0</v>
      </c>
      <c r="N75" s="66">
        <f t="shared" si="49"/>
        <v>0</v>
      </c>
      <c r="O75" s="99">
        <v>-11</v>
      </c>
      <c r="P75" s="33">
        <f t="shared" si="53"/>
        <v>-45.476753258866147</v>
      </c>
      <c r="Q75" s="97">
        <f t="shared" si="57"/>
        <v>2.8335095069165873E-5</v>
      </c>
      <c r="R75" s="34">
        <v>-12</v>
      </c>
      <c r="S75" s="33">
        <f t="shared" si="54"/>
        <v>-46.476753258866147</v>
      </c>
      <c r="T75" s="97">
        <f t="shared" si="44"/>
        <v>2.2507366047035205E-5</v>
      </c>
      <c r="U75" s="34">
        <v>-9</v>
      </c>
      <c r="V75" s="33">
        <f t="shared" si="58"/>
        <v>-43.476753258866147</v>
      </c>
      <c r="W75" s="97">
        <f t="shared" si="55"/>
        <v>4.4908099282859533E-5</v>
      </c>
      <c r="X75" s="34">
        <v>-9</v>
      </c>
      <c r="Y75" s="33">
        <f t="shared" si="56"/>
        <v>-43.476753258866147</v>
      </c>
      <c r="Z75" s="97">
        <f t="shared" si="42"/>
        <v>4.4908099282859533E-5</v>
      </c>
    </row>
    <row r="76" spans="2:26" x14ac:dyDescent="0.2">
      <c r="B76" s="13">
        <v>1000</v>
      </c>
      <c r="C76" s="33">
        <f>'3º Alta Frec'!H71</f>
        <v>33.966279938143558</v>
      </c>
      <c r="D76" s="33">
        <f>'3º Alta Frec'!R71</f>
        <v>42.274811098248961</v>
      </c>
      <c r="E76" s="34">
        <f t="shared" si="39"/>
        <v>2</v>
      </c>
      <c r="F76" s="112">
        <f t="shared" si="40"/>
        <v>36.378596647403434</v>
      </c>
      <c r="G76" s="13">
        <v>55</v>
      </c>
      <c r="H76" s="18">
        <f t="shared" si="50"/>
        <v>39</v>
      </c>
      <c r="I76" s="18">
        <f t="shared" si="51"/>
        <v>38</v>
      </c>
      <c r="J76" s="18">
        <f t="shared" si="52"/>
        <v>37</v>
      </c>
      <c r="K76" s="79">
        <f t="shared" si="46"/>
        <v>0</v>
      </c>
      <c r="L76" s="33">
        <f t="shared" si="47"/>
        <v>0</v>
      </c>
      <c r="M76" s="98">
        <f t="shared" si="48"/>
        <v>0</v>
      </c>
      <c r="N76" s="66">
        <f t="shared" si="49"/>
        <v>0</v>
      </c>
      <c r="O76" s="99">
        <v>-10</v>
      </c>
      <c r="P76" s="33">
        <f t="shared" si="53"/>
        <v>-46.378596647403434</v>
      </c>
      <c r="Q76" s="97">
        <f t="shared" si="57"/>
        <v>2.3021856113914846E-5</v>
      </c>
      <c r="R76" s="34">
        <v>-11</v>
      </c>
      <c r="S76" s="33">
        <f t="shared" si="54"/>
        <v>-47.378596647403434</v>
      </c>
      <c r="T76" s="97">
        <f t="shared" si="44"/>
        <v>1.8286910327042406E-5</v>
      </c>
      <c r="U76" s="34">
        <v>-8</v>
      </c>
      <c r="V76" s="33">
        <f t="shared" si="58"/>
        <v>-44.378596647403434</v>
      </c>
      <c r="W76" s="97">
        <f t="shared" si="55"/>
        <v>3.6487183032762962E-5</v>
      </c>
      <c r="X76" s="34">
        <v>-8</v>
      </c>
      <c r="Y76" s="33">
        <f t="shared" si="56"/>
        <v>-44.378596647403434</v>
      </c>
      <c r="Z76" s="97">
        <f t="shared" si="42"/>
        <v>3.6487183032762962E-5</v>
      </c>
    </row>
    <row r="77" spans="2:26" x14ac:dyDescent="0.2">
      <c r="B77" s="13">
        <v>1250</v>
      </c>
      <c r="C77" s="33">
        <f>'3º Alta Frec'!H72</f>
        <v>34.538865168202946</v>
      </c>
      <c r="D77" s="33">
        <f>'3º Alta Frec'!R72</f>
        <v>43.625290324608528</v>
      </c>
      <c r="E77" s="34">
        <f t="shared" si="39"/>
        <v>2</v>
      </c>
      <c r="F77" s="112">
        <f t="shared" si="40"/>
        <v>37.043774435851816</v>
      </c>
      <c r="G77" s="13">
        <v>56</v>
      </c>
      <c r="H77" s="18">
        <f t="shared" si="50"/>
        <v>40</v>
      </c>
      <c r="I77" s="18">
        <f t="shared" si="51"/>
        <v>39</v>
      </c>
      <c r="J77" s="18">
        <f t="shared" si="52"/>
        <v>38</v>
      </c>
      <c r="K77" s="79">
        <f t="shared" si="46"/>
        <v>0</v>
      </c>
      <c r="L77" s="33">
        <f t="shared" si="47"/>
        <v>0</v>
      </c>
      <c r="M77" s="98">
        <f t="shared" si="48"/>
        <v>0</v>
      </c>
      <c r="N77" s="66">
        <f t="shared" si="49"/>
        <v>0</v>
      </c>
      <c r="O77" s="99">
        <v>-9</v>
      </c>
      <c r="P77" s="33">
        <f t="shared" si="53"/>
        <v>-46.043774435851816</v>
      </c>
      <c r="Q77" s="97">
        <f t="shared" si="57"/>
        <v>2.4866952020898132E-5</v>
      </c>
      <c r="R77" s="34">
        <v>-10</v>
      </c>
      <c r="S77" s="33">
        <f t="shared" si="54"/>
        <v>-47.043774435851816</v>
      </c>
      <c r="T77" s="97">
        <f t="shared" si="44"/>
        <v>1.9752522101733368E-5</v>
      </c>
      <c r="U77" s="34">
        <v>-9</v>
      </c>
      <c r="V77" s="33">
        <f t="shared" si="58"/>
        <v>-46.043774435851816</v>
      </c>
      <c r="W77" s="97">
        <f t="shared" si="55"/>
        <v>2.4866952020898132E-5</v>
      </c>
      <c r="X77" s="34">
        <v>-9</v>
      </c>
      <c r="Y77" s="33">
        <f t="shared" si="56"/>
        <v>-46.043774435851816</v>
      </c>
      <c r="Z77" s="97">
        <f t="shared" si="42"/>
        <v>2.4866952020898132E-5</v>
      </c>
    </row>
    <row r="78" spans="2:26" x14ac:dyDescent="0.2">
      <c r="B78" s="13">
        <v>1600</v>
      </c>
      <c r="C78" s="33">
        <f>'3º Alta Frec'!H73</f>
        <v>35.490539325101423</v>
      </c>
      <c r="D78" s="33">
        <f>'3º Alta Frec'!R73</f>
        <v>44.037747511986097</v>
      </c>
      <c r="E78" s="34">
        <f t="shared" si="39"/>
        <v>2</v>
      </c>
      <c r="F78" s="112">
        <f t="shared" si="40"/>
        <v>37.93283232789063</v>
      </c>
      <c r="G78" s="13">
        <v>56</v>
      </c>
      <c r="H78" s="18">
        <f t="shared" si="50"/>
        <v>40</v>
      </c>
      <c r="I78" s="18">
        <f t="shared" si="51"/>
        <v>39</v>
      </c>
      <c r="J78" s="18">
        <f t="shared" si="52"/>
        <v>38</v>
      </c>
      <c r="K78" s="79">
        <f t="shared" si="46"/>
        <v>0</v>
      </c>
      <c r="L78" s="33">
        <f t="shared" si="47"/>
        <v>0</v>
      </c>
      <c r="M78" s="98">
        <f t="shared" si="48"/>
        <v>0</v>
      </c>
      <c r="N78" s="66">
        <f t="shared" si="49"/>
        <v>0</v>
      </c>
      <c r="O78" s="99">
        <v>-9</v>
      </c>
      <c r="P78" s="33">
        <f t="shared" si="53"/>
        <v>-46.93283232789063</v>
      </c>
      <c r="Q78" s="97">
        <f t="shared" si="57"/>
        <v>2.0263607616685911E-5</v>
      </c>
      <c r="R78" s="34">
        <v>-10</v>
      </c>
      <c r="S78" s="33">
        <f t="shared" si="54"/>
        <v>-47.93283232789063</v>
      </c>
      <c r="T78" s="97">
        <f t="shared" si="44"/>
        <v>1.6095955667307613E-5</v>
      </c>
      <c r="U78" s="34">
        <v>-10</v>
      </c>
      <c r="V78" s="33">
        <f t="shared" si="58"/>
        <v>-47.93283232789063</v>
      </c>
      <c r="W78" s="97">
        <f t="shared" si="55"/>
        <v>1.6095955667307613E-5</v>
      </c>
      <c r="X78" s="34">
        <v>-10</v>
      </c>
      <c r="Y78" s="33">
        <f t="shared" si="56"/>
        <v>-47.93283232789063</v>
      </c>
      <c r="Z78" s="97">
        <f t="shared" si="42"/>
        <v>1.6095955667307613E-5</v>
      </c>
    </row>
    <row r="79" spans="2:26" x14ac:dyDescent="0.2">
      <c r="B79" s="13">
        <v>2000</v>
      </c>
      <c r="C79" s="33">
        <f>'3º Alta Frec'!H74</f>
        <v>36.981523852113774</v>
      </c>
      <c r="D79" s="33">
        <f>'3º Alta Frec'!R74</f>
        <v>44.753301309217655</v>
      </c>
      <c r="E79" s="34">
        <f t="shared" si="39"/>
        <v>2</v>
      </c>
      <c r="F79" s="112">
        <f t="shared" si="40"/>
        <v>39.320963854740199</v>
      </c>
      <c r="G79" s="13">
        <v>56</v>
      </c>
      <c r="H79" s="18">
        <f t="shared" si="50"/>
        <v>40</v>
      </c>
      <c r="I79" s="18">
        <f t="shared" si="51"/>
        <v>39</v>
      </c>
      <c r="J79" s="18">
        <f t="shared" si="52"/>
        <v>38</v>
      </c>
      <c r="K79" s="79">
        <f t="shared" si="46"/>
        <v>0</v>
      </c>
      <c r="L79" s="33">
        <f t="shared" si="47"/>
        <v>0</v>
      </c>
      <c r="M79" s="98">
        <f t="shared" si="48"/>
        <v>0.32096385474019939</v>
      </c>
      <c r="N79" s="66">
        <f t="shared" si="49"/>
        <v>1.3209638547401994</v>
      </c>
      <c r="O79" s="99">
        <v>-9</v>
      </c>
      <c r="P79" s="33">
        <f t="shared" si="53"/>
        <v>-48.320963854740199</v>
      </c>
      <c r="Q79" s="97">
        <f t="shared" si="57"/>
        <v>1.4719857799019695E-5</v>
      </c>
      <c r="R79" s="34">
        <v>-10</v>
      </c>
      <c r="S79" s="33">
        <f t="shared" si="54"/>
        <v>-49.320963854740199</v>
      </c>
      <c r="T79" s="97">
        <f t="shared" si="44"/>
        <v>1.1692398660887753E-5</v>
      </c>
      <c r="U79" s="34">
        <v>-11</v>
      </c>
      <c r="V79" s="33">
        <f t="shared" si="58"/>
        <v>-50.320963854740199</v>
      </c>
      <c r="W79" s="97">
        <f t="shared" si="55"/>
        <v>9.2876023879955298E-6</v>
      </c>
      <c r="X79" s="34">
        <v>-11</v>
      </c>
      <c r="Y79" s="33">
        <f t="shared" si="56"/>
        <v>-50.320963854740199</v>
      </c>
      <c r="Z79" s="97">
        <f t="shared" si="42"/>
        <v>9.2876023879955298E-6</v>
      </c>
    </row>
    <row r="80" spans="2:26" x14ac:dyDescent="0.2">
      <c r="B80" s="13">
        <v>2500</v>
      </c>
      <c r="C80" s="33">
        <f>'3º Alta Frec'!H75</f>
        <v>36.087260225264458</v>
      </c>
      <c r="D80" s="33">
        <f>'3º Alta Frec'!R75</f>
        <v>44.283893847973609</v>
      </c>
      <c r="E80" s="34">
        <f t="shared" si="39"/>
        <v>2</v>
      </c>
      <c r="F80" s="112">
        <f t="shared" si="40"/>
        <v>38.485020736186129</v>
      </c>
      <c r="G80" s="13">
        <v>56</v>
      </c>
      <c r="H80" s="18">
        <f t="shared" si="50"/>
        <v>40</v>
      </c>
      <c r="I80" s="18">
        <f t="shared" si="51"/>
        <v>39</v>
      </c>
      <c r="J80" s="18">
        <f t="shared" si="52"/>
        <v>38</v>
      </c>
      <c r="K80" s="79">
        <f t="shared" si="46"/>
        <v>0</v>
      </c>
      <c r="L80" s="33">
        <f t="shared" si="47"/>
        <v>0</v>
      </c>
      <c r="M80" s="98">
        <f t="shared" si="48"/>
        <v>0</v>
      </c>
      <c r="N80" s="66">
        <f t="shared" si="49"/>
        <v>0.4850207361861294</v>
      </c>
      <c r="O80" s="99">
        <v>-9</v>
      </c>
      <c r="P80" s="33">
        <f t="shared" si="53"/>
        <v>-47.485020736186129</v>
      </c>
      <c r="Q80" s="97">
        <f t="shared" si="57"/>
        <v>1.7844234684630762E-5</v>
      </c>
      <c r="R80" s="34">
        <v>-10</v>
      </c>
      <c r="S80" s="33">
        <f t="shared" si="54"/>
        <v>-48.485020736186129</v>
      </c>
      <c r="T80" s="97">
        <f t="shared" si="44"/>
        <v>1.4174179437048538E-5</v>
      </c>
      <c r="U80" s="34">
        <v>-13</v>
      </c>
      <c r="V80" s="33">
        <f t="shared" si="58"/>
        <v>-51.485020736186129</v>
      </c>
      <c r="W80" s="97">
        <f t="shared" si="55"/>
        <v>7.1039177809909324E-6</v>
      </c>
      <c r="X80" s="34">
        <v>-13</v>
      </c>
      <c r="Y80" s="33">
        <f t="shared" si="56"/>
        <v>-51.485020736186129</v>
      </c>
      <c r="Z80" s="97">
        <f t="shared" si="42"/>
        <v>7.1039177809909324E-6</v>
      </c>
    </row>
    <row r="81" spans="2:26" x14ac:dyDescent="0.2">
      <c r="B81" s="13">
        <v>3150</v>
      </c>
      <c r="C81" s="33">
        <f>'3º Alta Frec'!H76</f>
        <v>33.92054963751044</v>
      </c>
      <c r="D81" s="33">
        <f>'3º Alta Frec'!R76</f>
        <v>41.111546822010702</v>
      </c>
      <c r="E81" s="34">
        <f t="shared" si="39"/>
        <v>2</v>
      </c>
      <c r="F81" s="112">
        <f t="shared" si="40"/>
        <v>36.171945380651863</v>
      </c>
      <c r="G81" s="13">
        <v>56</v>
      </c>
      <c r="H81" s="18">
        <f t="shared" si="50"/>
        <v>40</v>
      </c>
      <c r="I81" s="18">
        <f t="shared" si="51"/>
        <v>39</v>
      </c>
      <c r="J81" s="18">
        <f t="shared" si="52"/>
        <v>38</v>
      </c>
      <c r="K81" s="79">
        <f t="shared" si="46"/>
        <v>0</v>
      </c>
      <c r="L81" s="33">
        <f t="shared" si="47"/>
        <v>0</v>
      </c>
      <c r="M81" s="98">
        <f t="shared" si="48"/>
        <v>0</v>
      </c>
      <c r="N81" s="66">
        <f t="shared" si="49"/>
        <v>0</v>
      </c>
      <c r="O81" s="99">
        <v>-9</v>
      </c>
      <c r="P81" s="33">
        <f t="shared" si="53"/>
        <v>-45.171945380651863</v>
      </c>
      <c r="Q81" s="97">
        <f t="shared" si="57"/>
        <v>3.0395231953049913E-5</v>
      </c>
      <c r="R81" s="34">
        <v>-10</v>
      </c>
      <c r="S81" s="33">
        <f t="shared" si="54"/>
        <v>-46.171945380651863</v>
      </c>
      <c r="T81" s="97">
        <f t="shared" si="44"/>
        <v>2.4143790941301196E-5</v>
      </c>
      <c r="U81" s="34">
        <v>-15</v>
      </c>
      <c r="V81" s="33">
        <f t="shared" si="58"/>
        <v>-51.171945380651863</v>
      </c>
      <c r="W81" s="97">
        <f t="shared" si="55"/>
        <v>7.6349370725452412E-6</v>
      </c>
      <c r="X81" s="34">
        <v>-15</v>
      </c>
      <c r="Y81" s="33">
        <f t="shared" si="56"/>
        <v>-51.171945380651863</v>
      </c>
      <c r="Z81" s="97">
        <f t="shared" si="42"/>
        <v>7.6349370725452412E-6</v>
      </c>
    </row>
    <row r="82" spans="2:26" x14ac:dyDescent="0.2">
      <c r="B82" s="13">
        <v>4000</v>
      </c>
      <c r="C82" s="33">
        <f>'3º Alta Frec'!H77</f>
        <v>34.433956064644228</v>
      </c>
      <c r="D82" s="33">
        <f>'3º Alta Frec'!R77</f>
        <v>42.814380266311836</v>
      </c>
      <c r="E82" s="34">
        <f t="shared" si="39"/>
        <v>2</v>
      </c>
      <c r="F82" s="112">
        <f t="shared" si="40"/>
        <v>36.855454085109052</v>
      </c>
      <c r="G82" s="13"/>
      <c r="H82" s="18"/>
      <c r="I82" s="18"/>
      <c r="J82" s="18"/>
      <c r="K82" s="13"/>
      <c r="L82" s="18"/>
      <c r="M82" s="95"/>
      <c r="N82" s="96"/>
      <c r="O82" s="99"/>
      <c r="P82" s="18"/>
      <c r="Q82" s="97"/>
      <c r="R82" s="34">
        <v>-10</v>
      </c>
      <c r="S82" s="33">
        <f t="shared" si="54"/>
        <v>-46.855454085109052</v>
      </c>
      <c r="T82" s="97">
        <f t="shared" si="44"/>
        <v>2.0627879771942987E-5</v>
      </c>
      <c r="U82" s="18"/>
      <c r="V82" s="18"/>
      <c r="W82" s="97"/>
      <c r="X82" s="34">
        <v>-16</v>
      </c>
      <c r="Y82" s="33">
        <f t="shared" si="56"/>
        <v>-52.855454085109052</v>
      </c>
      <c r="Z82" s="97">
        <f t="shared" si="42"/>
        <v>5.1814891309954632E-6</v>
      </c>
    </row>
    <row r="83" spans="2:26" x14ac:dyDescent="0.2">
      <c r="B83" s="15">
        <v>5000</v>
      </c>
      <c r="C83" s="23">
        <f>'3º Alta Frec'!H78</f>
        <v>37.691206337757649</v>
      </c>
      <c r="D83" s="23">
        <f>'3º Alta Frec'!R78</f>
        <v>46.047484874981436</v>
      </c>
      <c r="E83" s="24">
        <f t="shared" si="39"/>
        <v>2</v>
      </c>
      <c r="F83" s="113">
        <f t="shared" si="40"/>
        <v>40.109635541586492</v>
      </c>
      <c r="G83" s="15"/>
      <c r="H83" s="16"/>
      <c r="I83" s="16"/>
      <c r="J83" s="16"/>
      <c r="K83" s="13"/>
      <c r="L83" s="18"/>
      <c r="M83" s="95"/>
      <c r="N83" s="96"/>
      <c r="O83" s="13"/>
      <c r="P83" s="18"/>
      <c r="Q83" s="97"/>
      <c r="R83" s="34">
        <v>-10</v>
      </c>
      <c r="S83" s="33">
        <f t="shared" si="54"/>
        <v>-50.109635541586492</v>
      </c>
      <c r="T83" s="97">
        <f t="shared" si="44"/>
        <v>9.7507146194078975E-6</v>
      </c>
      <c r="U83" s="18"/>
      <c r="V83" s="18"/>
      <c r="W83" s="97"/>
      <c r="X83" s="34">
        <v>-18</v>
      </c>
      <c r="Y83" s="33">
        <f t="shared" si="56"/>
        <v>-58.109635541586492</v>
      </c>
      <c r="Z83" s="97">
        <f t="shared" si="42"/>
        <v>1.5453841221930641E-6</v>
      </c>
    </row>
    <row r="84" spans="2:26" x14ac:dyDescent="0.2">
      <c r="K84" s="80">
        <f>SUM(K66:K81)</f>
        <v>0</v>
      </c>
      <c r="L84" s="23">
        <f t="shared" ref="L84:N84" si="59">SUM(L66:L81)</f>
        <v>23.344179316313927</v>
      </c>
      <c r="M84" s="102">
        <f t="shared" si="59"/>
        <v>28.665143171054126</v>
      </c>
      <c r="N84" s="59">
        <f t="shared" si="59"/>
        <v>35.150163907240255</v>
      </c>
      <c r="O84" s="79" t="s">
        <v>134</v>
      </c>
      <c r="P84" s="33">
        <f>52-17</f>
        <v>35</v>
      </c>
      <c r="Q84" s="103">
        <f>-10*LOG10(SUM(Q63:Q83))</f>
        <v>34.804704236438916</v>
      </c>
      <c r="R84" s="34"/>
      <c r="S84" s="33"/>
      <c r="T84" s="103">
        <f>-10*LOG10(SUM(T63:T83))</f>
        <v>35.302935295775868</v>
      </c>
      <c r="U84" s="33"/>
      <c r="V84" s="33"/>
      <c r="W84" s="103">
        <f>-10*LOG10(SUM(W63:W83))</f>
        <v>33.13417404770027</v>
      </c>
      <c r="X84" s="34"/>
      <c r="Y84" s="33"/>
      <c r="Z84" s="103">
        <f>-10*LOG10(SUM(Z63:Z83))</f>
        <v>32.67575361642529</v>
      </c>
    </row>
    <row r="85" spans="2:26" x14ac:dyDescent="0.2">
      <c r="O85" s="15"/>
      <c r="P85" s="16"/>
      <c r="Q85" s="114">
        <f>ROUND(Q84,0)-P84</f>
        <v>0</v>
      </c>
      <c r="R85" s="16"/>
      <c r="S85" s="16"/>
      <c r="T85" s="114">
        <f>ROUND(T84,0)-P84</f>
        <v>0</v>
      </c>
      <c r="U85" s="16"/>
      <c r="V85" s="16"/>
      <c r="W85" s="114">
        <f>ROUND(W84,0)-P84</f>
        <v>-2</v>
      </c>
      <c r="X85" s="16"/>
      <c r="Y85" s="16"/>
      <c r="Z85" s="114">
        <f>ROUND(Z84,0)-P84</f>
        <v>-2</v>
      </c>
    </row>
    <row r="88" spans="2:26" x14ac:dyDescent="0.2">
      <c r="D88" s="2" t="s">
        <v>92</v>
      </c>
    </row>
    <row r="89" spans="2:26" x14ac:dyDescent="0.2">
      <c r="F89" s="172" t="s">
        <v>45</v>
      </c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4"/>
    </row>
    <row r="90" spans="2:26" x14ac:dyDescent="0.2">
      <c r="B90" s="61" t="s">
        <v>45</v>
      </c>
      <c r="C90" s="62"/>
      <c r="D90" s="62"/>
      <c r="E90" s="62"/>
      <c r="F90" s="184"/>
      <c r="G90" s="162" t="s">
        <v>96</v>
      </c>
      <c r="H90" s="163"/>
      <c r="I90" s="163"/>
      <c r="J90" s="163"/>
      <c r="K90" s="186" t="s">
        <v>95</v>
      </c>
      <c r="L90" s="187"/>
      <c r="M90" s="187"/>
      <c r="N90" s="188"/>
      <c r="O90" s="189" t="s">
        <v>99</v>
      </c>
      <c r="P90" s="190"/>
      <c r="Q90" s="191"/>
      <c r="R90" s="192" t="s">
        <v>97</v>
      </c>
      <c r="S90" s="192"/>
      <c r="T90" s="193"/>
      <c r="U90" s="190" t="s">
        <v>100</v>
      </c>
      <c r="V90" s="190"/>
      <c r="W90" s="191"/>
      <c r="X90" s="192" t="s">
        <v>98</v>
      </c>
      <c r="Y90" s="192"/>
      <c r="Z90" s="193"/>
    </row>
    <row r="91" spans="2:26" ht="31" customHeight="1" x14ac:dyDescent="0.2">
      <c r="B91" s="28"/>
      <c r="C91" s="29"/>
      <c r="D91" s="29"/>
      <c r="E91" s="29"/>
      <c r="F91" s="185"/>
      <c r="G91" s="15" t="s">
        <v>94</v>
      </c>
      <c r="H91" s="16" t="s">
        <v>87</v>
      </c>
      <c r="I91" s="107" t="s">
        <v>103</v>
      </c>
      <c r="J91" s="16" t="s">
        <v>104</v>
      </c>
      <c r="K91" s="15" t="s">
        <v>94</v>
      </c>
      <c r="L91" s="16" t="s">
        <v>87</v>
      </c>
      <c r="M91" s="16" t="s">
        <v>103</v>
      </c>
      <c r="N91" s="16" t="s">
        <v>104</v>
      </c>
      <c r="O91" s="91" t="s">
        <v>126</v>
      </c>
      <c r="P91" s="75"/>
      <c r="Q91" s="92"/>
      <c r="R91" s="88" t="s">
        <v>126</v>
      </c>
      <c r="S91" s="88"/>
      <c r="T91" s="92"/>
      <c r="U91" s="88" t="s">
        <v>126</v>
      </c>
      <c r="V91" s="75"/>
      <c r="W91" s="92"/>
      <c r="X91" s="88" t="s">
        <v>126</v>
      </c>
      <c r="Y91" s="88"/>
      <c r="Z91" s="92"/>
    </row>
    <row r="92" spans="2:26" x14ac:dyDescent="0.2">
      <c r="B92" s="13">
        <v>50</v>
      </c>
      <c r="C92" s="33">
        <f>'3º Alta Frec'!H85</f>
        <v>27.270729259620158</v>
      </c>
      <c r="D92" s="33">
        <f>'3º Alta Frec'!R85</f>
        <v>24.314418440537327</v>
      </c>
      <c r="E92" s="34">
        <f t="shared" ref="E92:E112" si="60">COUNT(C92:D92)</f>
        <v>2</v>
      </c>
      <c r="F92" s="111">
        <f t="shared" ref="F92:F112" si="61">-10*LOG10((10^(-C92/10)+10^(-D92/10))/E92)</f>
        <v>25.545734751003423</v>
      </c>
      <c r="G92" s="13"/>
      <c r="H92" s="18"/>
      <c r="I92" s="18"/>
      <c r="J92" s="18"/>
      <c r="K92" s="13"/>
      <c r="L92" s="18"/>
      <c r="M92" s="95"/>
      <c r="N92" s="96"/>
      <c r="O92" s="13"/>
      <c r="P92" s="18"/>
      <c r="Q92" s="97"/>
      <c r="R92" s="34">
        <v>-41</v>
      </c>
      <c r="S92" s="33">
        <f>R92-F92</f>
        <v>-66.545734751003423</v>
      </c>
      <c r="T92" s="97">
        <f>10^(S92/10)</f>
        <v>2.2152692794343546E-7</v>
      </c>
      <c r="U92" s="18"/>
      <c r="V92" s="18"/>
      <c r="W92" s="97"/>
      <c r="X92" s="34">
        <v>-25</v>
      </c>
      <c r="Y92" s="33">
        <f t="shared" ref="Y92" si="62">X92-F92</f>
        <v>-50.545734751003423</v>
      </c>
      <c r="Z92" s="97">
        <f t="shared" ref="Z92:Z112" si="63">10^(Y92/10)</f>
        <v>8.8191458484969621E-6</v>
      </c>
    </row>
    <row r="93" spans="2:26" x14ac:dyDescent="0.2">
      <c r="B93" s="13">
        <v>63</v>
      </c>
      <c r="C93" s="33">
        <f>'3º Alta Frec'!H86</f>
        <v>33.750034797497122</v>
      </c>
      <c r="D93" s="33">
        <f>'3º Alta Frec'!R86</f>
        <v>27.07065614670838</v>
      </c>
      <c r="E93" s="34">
        <f t="shared" si="60"/>
        <v>2</v>
      </c>
      <c r="F93" s="112">
        <f t="shared" si="61"/>
        <v>29.235859011472574</v>
      </c>
      <c r="G93" s="13"/>
      <c r="H93" s="18"/>
      <c r="I93" s="18"/>
      <c r="J93" s="18"/>
      <c r="K93" s="13"/>
      <c r="L93" s="18"/>
      <c r="M93" s="95"/>
      <c r="N93" s="96"/>
      <c r="O93" s="13"/>
      <c r="P93" s="18"/>
      <c r="Q93" s="97"/>
      <c r="R93" s="34">
        <v>-37</v>
      </c>
      <c r="S93" s="33">
        <f t="shared" ref="S93:S94" si="64">R93-F93</f>
        <v>-66.23585901147257</v>
      </c>
      <c r="T93" s="97">
        <f t="shared" ref="T93:T112" si="65">10^(S93/10)</f>
        <v>2.3791076795222543E-7</v>
      </c>
      <c r="U93" s="18"/>
      <c r="V93" s="18"/>
      <c r="W93" s="97"/>
      <c r="X93" s="34">
        <v>-23</v>
      </c>
      <c r="Y93" s="33">
        <f>X93-F93</f>
        <v>-52.23585901147257</v>
      </c>
      <c r="Z93" s="97">
        <f t="shared" si="63"/>
        <v>5.9760482992921883E-6</v>
      </c>
    </row>
    <row r="94" spans="2:26" x14ac:dyDescent="0.2">
      <c r="B94" s="13">
        <v>80</v>
      </c>
      <c r="C94" s="33">
        <f>'3º Alta Frec'!H87</f>
        <v>27.703921966696445</v>
      </c>
      <c r="D94" s="33">
        <f>'3º Alta Frec'!R87</f>
        <v>24.946856311087874</v>
      </c>
      <c r="E94" s="34">
        <f t="shared" si="60"/>
        <v>2</v>
      </c>
      <c r="F94" s="112">
        <f t="shared" si="61"/>
        <v>26.110181113229011</v>
      </c>
      <c r="G94" s="13"/>
      <c r="H94" s="18"/>
      <c r="I94" s="18"/>
      <c r="J94" s="18"/>
      <c r="K94" s="13"/>
      <c r="L94" s="18"/>
      <c r="M94" s="95"/>
      <c r="N94" s="96"/>
      <c r="O94" s="13"/>
      <c r="P94" s="18"/>
      <c r="Q94" s="97"/>
      <c r="R94" s="34">
        <v>-34</v>
      </c>
      <c r="S94" s="33">
        <f t="shared" si="64"/>
        <v>-60.110181113229011</v>
      </c>
      <c r="T94" s="97">
        <f t="shared" si="65"/>
        <v>9.749489787067541E-7</v>
      </c>
      <c r="U94" s="18"/>
      <c r="V94" s="18"/>
      <c r="W94" s="97"/>
      <c r="X94" s="34">
        <v>-21</v>
      </c>
      <c r="Y94" s="33">
        <f t="shared" ref="Y94" si="66">X94-F94</f>
        <v>-47.110181113229011</v>
      </c>
      <c r="Z94" s="97">
        <f t="shared" si="63"/>
        <v>1.9452789562309833E-5</v>
      </c>
    </row>
    <row r="95" spans="2:26" x14ac:dyDescent="0.2">
      <c r="B95" s="13">
        <v>100</v>
      </c>
      <c r="C95" s="33">
        <f>'3º Alta Frec'!H88</f>
        <v>31.32969671392252</v>
      </c>
      <c r="D95" s="33">
        <f>'3º Alta Frec'!R88</f>
        <v>33.645441722902142</v>
      </c>
      <c r="E95" s="34">
        <f t="shared" si="60"/>
        <v>2</v>
      </c>
      <c r="F95" s="112">
        <f t="shared" si="61"/>
        <v>32.335013655140031</v>
      </c>
      <c r="G95" s="13">
        <v>33</v>
      </c>
      <c r="H95" s="34">
        <f>$G95-12</f>
        <v>21</v>
      </c>
      <c r="I95" s="34">
        <f>$G95-13</f>
        <v>20</v>
      </c>
      <c r="J95" s="34">
        <f>$G95-14</f>
        <v>19</v>
      </c>
      <c r="K95" s="79">
        <f t="shared" ref="K95:K110" si="67">IF((F95-G95)&gt;0,F95-G95,0)</f>
        <v>0</v>
      </c>
      <c r="L95" s="33">
        <f t="shared" ref="L95:L110" si="68">IF((F95-H95)&gt;0,F95-H95,0)</f>
        <v>11.335013655140031</v>
      </c>
      <c r="M95" s="98">
        <f t="shared" ref="M95:M110" si="69">IF((F95-I95)&gt;0,F95-I95,0)</f>
        <v>12.335013655140031</v>
      </c>
      <c r="N95" s="66">
        <f t="shared" ref="N95:N110" si="70">IF((F95-J95)&gt;0,F95-J95,0)</f>
        <v>13.335013655140031</v>
      </c>
      <c r="O95" s="99">
        <v>-29</v>
      </c>
      <c r="P95" s="33">
        <f>O95-F95</f>
        <v>-61.335013655140031</v>
      </c>
      <c r="Q95" s="97">
        <f>10^(P95/10)</f>
        <v>7.3535768335117414E-7</v>
      </c>
      <c r="R95" s="34">
        <v>-30</v>
      </c>
      <c r="S95" s="33">
        <f>R95-F95</f>
        <v>-62.335013655140031</v>
      </c>
      <c r="T95" s="97">
        <f>10^(S95/10)</f>
        <v>5.841153705072748E-7</v>
      </c>
      <c r="U95" s="34">
        <v>-20</v>
      </c>
      <c r="V95" s="33">
        <f>U95-F95</f>
        <v>-52.335013655140031</v>
      </c>
      <c r="W95" s="97">
        <f>10^(V95/10)</f>
        <v>5.8411537050727442E-6</v>
      </c>
      <c r="X95" s="34">
        <v>-20</v>
      </c>
      <c r="Y95" s="33">
        <f>X95-F95</f>
        <v>-52.335013655140031</v>
      </c>
      <c r="Z95" s="97">
        <f>10^(Y95/10)</f>
        <v>5.8411537050727442E-6</v>
      </c>
    </row>
    <row r="96" spans="2:26" x14ac:dyDescent="0.2">
      <c r="B96" s="13">
        <v>125</v>
      </c>
      <c r="C96" s="33">
        <f>'3º Alta Frec'!H89</f>
        <v>24.527051317814323</v>
      </c>
      <c r="D96" s="33">
        <f>'3º Alta Frec'!R89</f>
        <v>33.086461975819098</v>
      </c>
      <c r="E96" s="34">
        <f t="shared" si="60"/>
        <v>2</v>
      </c>
      <c r="F96" s="112">
        <f t="shared" si="61"/>
        <v>26.970838459592045</v>
      </c>
      <c r="G96" s="13">
        <v>36</v>
      </c>
      <c r="H96" s="34">
        <f t="shared" ref="H96:H110" si="71">$G96-12</f>
        <v>24</v>
      </c>
      <c r="I96" s="34">
        <f t="shared" ref="I96:I110" si="72">$G96-13</f>
        <v>23</v>
      </c>
      <c r="J96" s="34">
        <f t="shared" ref="J96:J110" si="73">$G96-14</f>
        <v>22</v>
      </c>
      <c r="K96" s="79">
        <f t="shared" si="67"/>
        <v>0</v>
      </c>
      <c r="L96" s="33">
        <f t="shared" si="68"/>
        <v>2.970838459592045</v>
      </c>
      <c r="M96" s="98">
        <f t="shared" si="69"/>
        <v>3.970838459592045</v>
      </c>
      <c r="N96" s="66">
        <f t="shared" si="70"/>
        <v>4.970838459592045</v>
      </c>
      <c r="O96" s="99">
        <v>-26</v>
      </c>
      <c r="P96" s="33">
        <f t="shared" ref="P96:P110" si="74">O96-F96</f>
        <v>-52.970838459592045</v>
      </c>
      <c r="Q96" s="97">
        <f>10^(P96/10)</f>
        <v>5.0456387581862996E-6</v>
      </c>
      <c r="R96" s="34">
        <v>-27</v>
      </c>
      <c r="S96" s="33">
        <f t="shared" ref="S96:S112" si="75">R96-F96</f>
        <v>-53.970838459592045</v>
      </c>
      <c r="T96" s="97">
        <f t="shared" si="65"/>
        <v>4.0078933278465428E-6</v>
      </c>
      <c r="U96" s="34">
        <v>-20</v>
      </c>
      <c r="V96" s="33">
        <f>U96-F96</f>
        <v>-46.970838459592045</v>
      </c>
      <c r="W96" s="97">
        <f t="shared" ref="W96:W110" si="76">10^(V96/10)</f>
        <v>2.008704969656612E-5</v>
      </c>
      <c r="X96" s="34">
        <v>-20</v>
      </c>
      <c r="Y96" s="33">
        <f t="shared" ref="Y96:Y112" si="77">X96-F96</f>
        <v>-46.970838459592045</v>
      </c>
      <c r="Z96" s="97">
        <f t="shared" si="63"/>
        <v>2.008704969656612E-5</v>
      </c>
    </row>
    <row r="97" spans="2:26" x14ac:dyDescent="0.2">
      <c r="B97" s="13">
        <v>160</v>
      </c>
      <c r="C97" s="33">
        <f>'3º Alta Frec'!H90</f>
        <v>28.310658758829984</v>
      </c>
      <c r="D97" s="33">
        <f>'3º Alta Frec'!R90</f>
        <v>35.044564949209686</v>
      </c>
      <c r="E97" s="34">
        <f t="shared" si="60"/>
        <v>2</v>
      </c>
      <c r="F97" s="112">
        <f t="shared" si="61"/>
        <v>30.485453958461797</v>
      </c>
      <c r="G97" s="13">
        <v>39</v>
      </c>
      <c r="H97" s="34">
        <f t="shared" si="71"/>
        <v>27</v>
      </c>
      <c r="I97" s="34">
        <f t="shared" si="72"/>
        <v>26</v>
      </c>
      <c r="J97" s="34">
        <f t="shared" si="73"/>
        <v>25</v>
      </c>
      <c r="K97" s="79">
        <f t="shared" si="67"/>
        <v>0</v>
      </c>
      <c r="L97" s="33">
        <f t="shared" si="68"/>
        <v>3.4854539584617967</v>
      </c>
      <c r="M97" s="98">
        <f t="shared" si="69"/>
        <v>4.4854539584617967</v>
      </c>
      <c r="N97" s="66">
        <f t="shared" si="70"/>
        <v>5.4854539584617967</v>
      </c>
      <c r="O97" s="99">
        <v>-23</v>
      </c>
      <c r="P97" s="33">
        <f t="shared" si="74"/>
        <v>-53.485453958461797</v>
      </c>
      <c r="Q97" s="97">
        <f t="shared" ref="Q97:Q110" si="78">10^(P97/10)</f>
        <v>4.4818220004931504E-6</v>
      </c>
      <c r="R97" s="34">
        <v>-24</v>
      </c>
      <c r="S97" s="33">
        <f t="shared" si="75"/>
        <v>-54.485453958461797</v>
      </c>
      <c r="T97" s="97">
        <f t="shared" si="65"/>
        <v>3.5600377580001687E-6</v>
      </c>
      <c r="U97" s="34">
        <v>-18</v>
      </c>
      <c r="V97" s="33">
        <f t="shared" ref="V97:V110" si="79">U97-F97</f>
        <v>-48.485453958461797</v>
      </c>
      <c r="W97" s="97">
        <f t="shared" si="76"/>
        <v>1.4172765589010654E-5</v>
      </c>
      <c r="X97" s="34">
        <v>-18</v>
      </c>
      <c r="Y97" s="33">
        <f t="shared" si="77"/>
        <v>-48.485453958461797</v>
      </c>
      <c r="Z97" s="97">
        <f t="shared" si="63"/>
        <v>1.4172765589010654E-5</v>
      </c>
    </row>
    <row r="98" spans="2:26" x14ac:dyDescent="0.2">
      <c r="B98" s="13">
        <v>200</v>
      </c>
      <c r="C98" s="33">
        <f>'3º Alta Frec'!H91</f>
        <v>34.720800013708512</v>
      </c>
      <c r="D98" s="33">
        <f>'3º Alta Frec'!R91</f>
        <v>32.783240379027148</v>
      </c>
      <c r="E98" s="34">
        <f t="shared" si="60"/>
        <v>2</v>
      </c>
      <c r="F98" s="112">
        <f t="shared" si="61"/>
        <v>33.644851843759525</v>
      </c>
      <c r="G98" s="13">
        <v>42</v>
      </c>
      <c r="H98" s="34">
        <f t="shared" si="71"/>
        <v>30</v>
      </c>
      <c r="I98" s="34">
        <f t="shared" si="72"/>
        <v>29</v>
      </c>
      <c r="J98" s="34">
        <f t="shared" si="73"/>
        <v>28</v>
      </c>
      <c r="K98" s="79">
        <f t="shared" si="67"/>
        <v>0</v>
      </c>
      <c r="L98" s="33">
        <f t="shared" si="68"/>
        <v>3.6448518437595254</v>
      </c>
      <c r="M98" s="98">
        <f t="shared" si="69"/>
        <v>4.6448518437595254</v>
      </c>
      <c r="N98" s="66">
        <f t="shared" si="70"/>
        <v>5.6448518437595254</v>
      </c>
      <c r="O98" s="99">
        <v>-21</v>
      </c>
      <c r="P98" s="33">
        <f t="shared" si="74"/>
        <v>-54.644851843759525</v>
      </c>
      <c r="Q98" s="97">
        <f t="shared" si="78"/>
        <v>3.4317434672711618E-6</v>
      </c>
      <c r="R98" s="34">
        <v>-22</v>
      </c>
      <c r="S98" s="33">
        <f t="shared" si="75"/>
        <v>-55.644851843759525</v>
      </c>
      <c r="T98" s="97">
        <f t="shared" si="65"/>
        <v>2.72593073038409E-6</v>
      </c>
      <c r="U98" s="34">
        <v>-16</v>
      </c>
      <c r="V98" s="33">
        <f t="shared" si="79"/>
        <v>-49.644851843759525</v>
      </c>
      <c r="W98" s="97">
        <f t="shared" si="76"/>
        <v>1.0852125701980377E-5</v>
      </c>
      <c r="X98" s="34">
        <v>-16</v>
      </c>
      <c r="Y98" s="33">
        <f t="shared" si="77"/>
        <v>-49.644851843759525</v>
      </c>
      <c r="Z98" s="97">
        <f t="shared" si="63"/>
        <v>1.0852125701980377E-5</v>
      </c>
    </row>
    <row r="99" spans="2:26" x14ac:dyDescent="0.2">
      <c r="B99" s="13">
        <v>250</v>
      </c>
      <c r="C99" s="33">
        <f>'3º Alta Frec'!H92</f>
        <v>35.206110034469113</v>
      </c>
      <c r="D99" s="33">
        <f>'3º Alta Frec'!R92</f>
        <v>30.501807781760437</v>
      </c>
      <c r="E99" s="34">
        <f t="shared" si="60"/>
        <v>2</v>
      </c>
      <c r="F99" s="112">
        <f t="shared" si="61"/>
        <v>32.245895907234747</v>
      </c>
      <c r="G99" s="100">
        <v>45</v>
      </c>
      <c r="H99" s="34">
        <f t="shared" si="71"/>
        <v>33</v>
      </c>
      <c r="I99" s="34">
        <f t="shared" si="72"/>
        <v>32</v>
      </c>
      <c r="J99" s="34">
        <f t="shared" si="73"/>
        <v>31</v>
      </c>
      <c r="K99" s="79">
        <f t="shared" si="67"/>
        <v>0</v>
      </c>
      <c r="L99" s="33">
        <f t="shared" si="68"/>
        <v>0</v>
      </c>
      <c r="M99" s="98">
        <f t="shared" si="69"/>
        <v>0.24589590723474686</v>
      </c>
      <c r="N99" s="66">
        <f t="shared" si="70"/>
        <v>1.2458959072347469</v>
      </c>
      <c r="O99" s="99">
        <v>-19</v>
      </c>
      <c r="P99" s="33">
        <f t="shared" si="74"/>
        <v>-51.245895907234747</v>
      </c>
      <c r="Q99" s="97">
        <f t="shared" si="78"/>
        <v>7.5060319601590242E-6</v>
      </c>
      <c r="R99" s="34">
        <v>-20</v>
      </c>
      <c r="S99" s="33">
        <f t="shared" si="75"/>
        <v>-52.245895907234747</v>
      </c>
      <c r="T99" s="97">
        <f t="shared" si="65"/>
        <v>5.9622531166971617E-6</v>
      </c>
      <c r="U99" s="34">
        <v>-15</v>
      </c>
      <c r="V99" s="33">
        <f t="shared" si="79"/>
        <v>-47.245895907234747</v>
      </c>
      <c r="W99" s="97">
        <f t="shared" si="76"/>
        <v>1.8854299835200741E-5</v>
      </c>
      <c r="X99" s="34">
        <v>-15</v>
      </c>
      <c r="Y99" s="33">
        <f t="shared" si="77"/>
        <v>-47.245895907234747</v>
      </c>
      <c r="Z99" s="97">
        <f t="shared" si="63"/>
        <v>1.8854299835200741E-5</v>
      </c>
    </row>
    <row r="100" spans="2:26" x14ac:dyDescent="0.2">
      <c r="B100" s="13">
        <v>315</v>
      </c>
      <c r="C100" s="33">
        <f>'3º Alta Frec'!H93</f>
        <v>29.454954991450879</v>
      </c>
      <c r="D100" s="33">
        <f>'3º Alta Frec'!R93</f>
        <v>32.401759469134809</v>
      </c>
      <c r="E100" s="34">
        <f t="shared" si="60"/>
        <v>2</v>
      </c>
      <c r="F100" s="112">
        <f t="shared" si="61"/>
        <v>30.683073883416686</v>
      </c>
      <c r="G100" s="100">
        <v>48</v>
      </c>
      <c r="H100" s="34">
        <f t="shared" si="71"/>
        <v>36</v>
      </c>
      <c r="I100" s="34">
        <f t="shared" si="72"/>
        <v>35</v>
      </c>
      <c r="J100" s="34">
        <f t="shared" si="73"/>
        <v>34</v>
      </c>
      <c r="K100" s="79">
        <f t="shared" si="67"/>
        <v>0</v>
      </c>
      <c r="L100" s="33">
        <f t="shared" si="68"/>
        <v>0</v>
      </c>
      <c r="M100" s="98">
        <f t="shared" si="69"/>
        <v>0</v>
      </c>
      <c r="N100" s="66">
        <f t="shared" si="70"/>
        <v>0</v>
      </c>
      <c r="O100" s="99">
        <v>-17</v>
      </c>
      <c r="P100" s="33">
        <f t="shared" si="74"/>
        <v>-47.683073883416682</v>
      </c>
      <c r="Q100" s="97">
        <f t="shared" si="78"/>
        <v>1.7048752719214985E-5</v>
      </c>
      <c r="R100" s="34">
        <v>-18</v>
      </c>
      <c r="S100" s="33">
        <f t="shared" si="75"/>
        <v>-48.683073883416682</v>
      </c>
      <c r="T100" s="97">
        <f t="shared" si="65"/>
        <v>1.3542305651704845E-5</v>
      </c>
      <c r="U100" s="34">
        <v>-14</v>
      </c>
      <c r="V100" s="33">
        <f t="shared" si="79"/>
        <v>-44.683073883416682</v>
      </c>
      <c r="W100" s="97">
        <f t="shared" si="76"/>
        <v>3.4016733817872835E-5</v>
      </c>
      <c r="X100" s="34">
        <v>-14</v>
      </c>
      <c r="Y100" s="33">
        <f t="shared" si="77"/>
        <v>-44.683073883416682</v>
      </c>
      <c r="Z100" s="97">
        <f t="shared" si="63"/>
        <v>3.4016733817872835E-5</v>
      </c>
    </row>
    <row r="101" spans="2:26" x14ac:dyDescent="0.2">
      <c r="B101" s="13">
        <v>400</v>
      </c>
      <c r="C101" s="33">
        <f>'3º Alta Frec'!H94</f>
        <v>34.536763013161568</v>
      </c>
      <c r="D101" s="33">
        <f>'3º Alta Frec'!R94</f>
        <v>32.84128547959704</v>
      </c>
      <c r="E101" s="34">
        <f t="shared" si="60"/>
        <v>2</v>
      </c>
      <c r="F101" s="112">
        <f t="shared" si="61"/>
        <v>33.606805490393349</v>
      </c>
      <c r="G101" s="100">
        <v>51</v>
      </c>
      <c r="H101" s="34">
        <f t="shared" si="71"/>
        <v>39</v>
      </c>
      <c r="I101" s="34">
        <f t="shared" si="72"/>
        <v>38</v>
      </c>
      <c r="J101" s="34">
        <f t="shared" si="73"/>
        <v>37</v>
      </c>
      <c r="K101" s="79">
        <f t="shared" si="67"/>
        <v>0</v>
      </c>
      <c r="L101" s="33">
        <f t="shared" si="68"/>
        <v>0</v>
      </c>
      <c r="M101" s="98">
        <f t="shared" si="69"/>
        <v>0</v>
      </c>
      <c r="N101" s="66">
        <f t="shared" si="70"/>
        <v>0</v>
      </c>
      <c r="O101" s="99">
        <v>-15</v>
      </c>
      <c r="P101" s="33">
        <f t="shared" si="74"/>
        <v>-48.606805490393349</v>
      </c>
      <c r="Q101" s="97">
        <f t="shared" si="78"/>
        <v>1.3782228659130097E-5</v>
      </c>
      <c r="R101" s="34">
        <v>-16</v>
      </c>
      <c r="S101" s="33">
        <f t="shared" si="75"/>
        <v>-49.606805490393349</v>
      </c>
      <c r="T101" s="97">
        <f t="shared" si="65"/>
        <v>1.0947613361373219E-5</v>
      </c>
      <c r="U101" s="34">
        <v>-13</v>
      </c>
      <c r="V101" s="33">
        <f t="shared" si="79"/>
        <v>-46.606805490393349</v>
      </c>
      <c r="W101" s="97">
        <f t="shared" si="76"/>
        <v>2.1843360378797744E-5</v>
      </c>
      <c r="X101" s="34">
        <v>-13</v>
      </c>
      <c r="Y101" s="33">
        <f t="shared" si="77"/>
        <v>-46.606805490393349</v>
      </c>
      <c r="Z101" s="97">
        <f t="shared" si="63"/>
        <v>2.1843360378797744E-5</v>
      </c>
    </row>
    <row r="102" spans="2:26" x14ac:dyDescent="0.2">
      <c r="B102" s="13">
        <v>500</v>
      </c>
      <c r="C102" s="33">
        <f>'3º Alta Frec'!H95</f>
        <v>32.361220121934458</v>
      </c>
      <c r="D102" s="33">
        <f>'3º Alta Frec'!R95</f>
        <v>32.879974095802019</v>
      </c>
      <c r="E102" s="34">
        <f t="shared" si="60"/>
        <v>2</v>
      </c>
      <c r="F102" s="112">
        <f t="shared" si="61"/>
        <v>32.612856224844109</v>
      </c>
      <c r="G102" s="101">
        <v>52</v>
      </c>
      <c r="H102" s="34">
        <f t="shared" si="71"/>
        <v>40</v>
      </c>
      <c r="I102" s="115">
        <f t="shared" si="72"/>
        <v>39</v>
      </c>
      <c r="J102" s="34">
        <f t="shared" si="73"/>
        <v>38</v>
      </c>
      <c r="K102" s="79">
        <f t="shared" si="67"/>
        <v>0</v>
      </c>
      <c r="L102" s="33">
        <f t="shared" si="68"/>
        <v>0</v>
      </c>
      <c r="M102" s="98">
        <f t="shared" si="69"/>
        <v>0</v>
      </c>
      <c r="N102" s="66">
        <f t="shared" si="70"/>
        <v>0</v>
      </c>
      <c r="O102" s="99">
        <v>-13</v>
      </c>
      <c r="P102" s="33">
        <f t="shared" si="74"/>
        <v>-45.612856224844109</v>
      </c>
      <c r="Q102" s="97">
        <f t="shared" si="78"/>
        <v>2.7460875394920795E-5</v>
      </c>
      <c r="R102" s="34">
        <v>-14</v>
      </c>
      <c r="S102" s="33">
        <f t="shared" si="75"/>
        <v>-46.612856224844109</v>
      </c>
      <c r="T102" s="97">
        <f t="shared" si="65"/>
        <v>2.1812948676430836E-5</v>
      </c>
      <c r="U102" s="34">
        <v>-12</v>
      </c>
      <c r="V102" s="33">
        <f t="shared" si="79"/>
        <v>-44.612856224844109</v>
      </c>
      <c r="W102" s="97">
        <f t="shared" si="76"/>
        <v>3.4571193864778944E-5</v>
      </c>
      <c r="X102" s="34">
        <v>-12</v>
      </c>
      <c r="Y102" s="33">
        <f t="shared" si="77"/>
        <v>-44.612856224844109</v>
      </c>
      <c r="Z102" s="97">
        <f t="shared" si="63"/>
        <v>3.4571193864778944E-5</v>
      </c>
    </row>
    <row r="103" spans="2:26" x14ac:dyDescent="0.2">
      <c r="B103" s="13">
        <v>630</v>
      </c>
      <c r="C103" s="33">
        <f>'3º Alta Frec'!H96</f>
        <v>33.811949352757587</v>
      </c>
      <c r="D103" s="33">
        <f>'3º Alta Frec'!R96</f>
        <v>35.015392478877224</v>
      </c>
      <c r="E103" s="34">
        <f t="shared" si="60"/>
        <v>2</v>
      </c>
      <c r="F103" s="112">
        <f t="shared" si="61"/>
        <v>34.372118888358045</v>
      </c>
      <c r="G103" s="13">
        <v>53</v>
      </c>
      <c r="H103" s="34">
        <f t="shared" si="71"/>
        <v>41</v>
      </c>
      <c r="I103" s="34">
        <f t="shared" si="72"/>
        <v>40</v>
      </c>
      <c r="J103" s="34">
        <f t="shared" si="73"/>
        <v>39</v>
      </c>
      <c r="K103" s="79">
        <f t="shared" si="67"/>
        <v>0</v>
      </c>
      <c r="L103" s="33">
        <f t="shared" si="68"/>
        <v>0</v>
      </c>
      <c r="M103" s="98">
        <f t="shared" si="69"/>
        <v>0</v>
      </c>
      <c r="N103" s="66">
        <f t="shared" si="70"/>
        <v>0</v>
      </c>
      <c r="O103" s="99">
        <v>-12</v>
      </c>
      <c r="P103" s="33">
        <f t="shared" si="74"/>
        <v>-46.372118888358045</v>
      </c>
      <c r="Q103" s="97">
        <f t="shared" si="78"/>
        <v>2.3056220195512446E-5</v>
      </c>
      <c r="R103" s="34">
        <v>-13</v>
      </c>
      <c r="S103" s="33">
        <f t="shared" si="75"/>
        <v>-47.372118888358045</v>
      </c>
      <c r="T103" s="97">
        <f t="shared" si="65"/>
        <v>1.8314206687315745E-5</v>
      </c>
      <c r="U103" s="34">
        <v>-11</v>
      </c>
      <c r="V103" s="33">
        <f t="shared" si="79"/>
        <v>-45.372118888358045</v>
      </c>
      <c r="W103" s="97">
        <f t="shared" si="76"/>
        <v>2.9026061504052519E-5</v>
      </c>
      <c r="X103" s="34">
        <v>-11</v>
      </c>
      <c r="Y103" s="33">
        <f t="shared" si="77"/>
        <v>-45.372118888358045</v>
      </c>
      <c r="Z103" s="97">
        <f t="shared" si="63"/>
        <v>2.9026061504052519E-5</v>
      </c>
    </row>
    <row r="104" spans="2:26" x14ac:dyDescent="0.2">
      <c r="B104" s="13">
        <v>800</v>
      </c>
      <c r="C104" s="33">
        <f>'3º Alta Frec'!H97</f>
        <v>35.992027810796458</v>
      </c>
      <c r="D104" s="33">
        <f>'3º Alta Frec'!R97</f>
        <v>36.263597588842515</v>
      </c>
      <c r="E104" s="34">
        <f t="shared" si="60"/>
        <v>2</v>
      </c>
      <c r="F104" s="112">
        <f t="shared" si="61"/>
        <v>36.125690345779191</v>
      </c>
      <c r="G104" s="13">
        <v>54</v>
      </c>
      <c r="H104" s="34">
        <f t="shared" si="71"/>
        <v>42</v>
      </c>
      <c r="I104" s="34">
        <f t="shared" si="72"/>
        <v>41</v>
      </c>
      <c r="J104" s="34">
        <f t="shared" si="73"/>
        <v>40</v>
      </c>
      <c r="K104" s="79">
        <f t="shared" si="67"/>
        <v>0</v>
      </c>
      <c r="L104" s="33">
        <f t="shared" si="68"/>
        <v>0</v>
      </c>
      <c r="M104" s="98">
        <f t="shared" si="69"/>
        <v>0</v>
      </c>
      <c r="N104" s="66">
        <f t="shared" si="70"/>
        <v>0</v>
      </c>
      <c r="O104" s="99">
        <v>-11</v>
      </c>
      <c r="P104" s="33">
        <f t="shared" si="74"/>
        <v>-47.125690345779191</v>
      </c>
      <c r="Q104" s="97">
        <f t="shared" si="78"/>
        <v>1.9383444961171428E-5</v>
      </c>
      <c r="R104" s="34">
        <v>-12</v>
      </c>
      <c r="S104" s="33">
        <f t="shared" si="75"/>
        <v>-48.125690345779191</v>
      </c>
      <c r="T104" s="97">
        <f t="shared" si="65"/>
        <v>1.5396817618882584E-5</v>
      </c>
      <c r="U104" s="34">
        <v>-9</v>
      </c>
      <c r="V104" s="33">
        <f t="shared" si="79"/>
        <v>-45.125690345779191</v>
      </c>
      <c r="W104" s="97">
        <f t="shared" si="76"/>
        <v>3.0720689965405323E-5</v>
      </c>
      <c r="X104" s="34">
        <v>-9</v>
      </c>
      <c r="Y104" s="33">
        <f t="shared" si="77"/>
        <v>-45.125690345779191</v>
      </c>
      <c r="Z104" s="97">
        <f t="shared" si="63"/>
        <v>3.0720689965405323E-5</v>
      </c>
    </row>
    <row r="105" spans="2:26" x14ac:dyDescent="0.2">
      <c r="B105" s="13">
        <v>1000</v>
      </c>
      <c r="C105" s="33">
        <f>'3º Alta Frec'!H98</f>
        <v>38.947009915005331</v>
      </c>
      <c r="D105" s="33">
        <f>'3º Alta Frec'!R98</f>
        <v>38.613825965822613</v>
      </c>
      <c r="E105" s="34">
        <f t="shared" si="60"/>
        <v>2</v>
      </c>
      <c r="F105" s="112">
        <f t="shared" si="61"/>
        <v>38.777223554605101</v>
      </c>
      <c r="G105" s="13">
        <v>55</v>
      </c>
      <c r="H105" s="34">
        <f t="shared" si="71"/>
        <v>43</v>
      </c>
      <c r="I105" s="34">
        <f t="shared" si="72"/>
        <v>42</v>
      </c>
      <c r="J105" s="34">
        <f t="shared" si="73"/>
        <v>41</v>
      </c>
      <c r="K105" s="79">
        <f t="shared" si="67"/>
        <v>0</v>
      </c>
      <c r="L105" s="33">
        <f t="shared" si="68"/>
        <v>0</v>
      </c>
      <c r="M105" s="98">
        <f t="shared" si="69"/>
        <v>0</v>
      </c>
      <c r="N105" s="66">
        <f t="shared" si="70"/>
        <v>0</v>
      </c>
      <c r="O105" s="99">
        <v>-10</v>
      </c>
      <c r="P105" s="33">
        <f t="shared" si="74"/>
        <v>-48.777223554605101</v>
      </c>
      <c r="Q105" s="97">
        <f t="shared" si="78"/>
        <v>1.3251884576635523E-5</v>
      </c>
      <c r="R105" s="34">
        <v>-11</v>
      </c>
      <c r="S105" s="33">
        <f t="shared" si="75"/>
        <v>-49.777223554605101</v>
      </c>
      <c r="T105" s="97">
        <f t="shared" si="65"/>
        <v>1.0526346082528838E-5</v>
      </c>
      <c r="U105" s="34">
        <v>-8</v>
      </c>
      <c r="V105" s="33">
        <f t="shared" si="79"/>
        <v>-46.777223554605101</v>
      </c>
      <c r="W105" s="97">
        <f t="shared" si="76"/>
        <v>2.1002821652790063E-5</v>
      </c>
      <c r="X105" s="34">
        <v>-8</v>
      </c>
      <c r="Y105" s="33">
        <f t="shared" si="77"/>
        <v>-46.777223554605101</v>
      </c>
      <c r="Z105" s="97">
        <f t="shared" si="63"/>
        <v>2.1002821652790063E-5</v>
      </c>
    </row>
    <row r="106" spans="2:26" x14ac:dyDescent="0.2">
      <c r="B106" s="13">
        <v>1250</v>
      </c>
      <c r="C106" s="33">
        <f>'3º Alta Frec'!H99</f>
        <v>41.01243317761638</v>
      </c>
      <c r="D106" s="33">
        <f>'3º Alta Frec'!R99</f>
        <v>41.288349600483578</v>
      </c>
      <c r="E106" s="34">
        <f t="shared" si="60"/>
        <v>2</v>
      </c>
      <c r="F106" s="112">
        <f t="shared" si="61"/>
        <v>41.148200563599858</v>
      </c>
      <c r="G106" s="13">
        <v>56</v>
      </c>
      <c r="H106" s="34">
        <f t="shared" si="71"/>
        <v>44</v>
      </c>
      <c r="I106" s="34">
        <f t="shared" si="72"/>
        <v>43</v>
      </c>
      <c r="J106" s="34">
        <f t="shared" si="73"/>
        <v>42</v>
      </c>
      <c r="K106" s="79">
        <f t="shared" si="67"/>
        <v>0</v>
      </c>
      <c r="L106" s="33">
        <f t="shared" si="68"/>
        <v>0</v>
      </c>
      <c r="M106" s="98">
        <f t="shared" si="69"/>
        <v>0</v>
      </c>
      <c r="N106" s="66">
        <f t="shared" si="70"/>
        <v>0</v>
      </c>
      <c r="O106" s="99">
        <v>-9</v>
      </c>
      <c r="P106" s="33">
        <f t="shared" si="74"/>
        <v>-50.148200563599858</v>
      </c>
      <c r="Q106" s="97">
        <f t="shared" si="78"/>
        <v>9.6645123113973311E-6</v>
      </c>
      <c r="R106" s="34">
        <v>-10</v>
      </c>
      <c r="S106" s="33">
        <f t="shared" si="75"/>
        <v>-51.148200563599858</v>
      </c>
      <c r="T106" s="97">
        <f t="shared" si="65"/>
        <v>7.6767950037833222E-6</v>
      </c>
      <c r="U106" s="34">
        <v>-9</v>
      </c>
      <c r="V106" s="33">
        <f t="shared" si="79"/>
        <v>-50.148200563599858</v>
      </c>
      <c r="W106" s="97">
        <f t="shared" si="76"/>
        <v>9.6645123113973311E-6</v>
      </c>
      <c r="X106" s="34">
        <v>-9</v>
      </c>
      <c r="Y106" s="33">
        <f t="shared" si="77"/>
        <v>-50.148200563599858</v>
      </c>
      <c r="Z106" s="97">
        <f t="shared" si="63"/>
        <v>9.6645123113973311E-6</v>
      </c>
    </row>
    <row r="107" spans="2:26" x14ac:dyDescent="0.2">
      <c r="B107" s="13">
        <v>1600</v>
      </c>
      <c r="C107" s="33">
        <f>'3º Alta Frec'!H100</f>
        <v>41.948956878735963</v>
      </c>
      <c r="D107" s="33">
        <f>'3º Alta Frec'!R100</f>
        <v>42.123055249346642</v>
      </c>
      <c r="E107" s="34">
        <f t="shared" si="60"/>
        <v>2</v>
      </c>
      <c r="F107" s="112">
        <f t="shared" si="61"/>
        <v>42.035133723538969</v>
      </c>
      <c r="G107" s="13">
        <v>56</v>
      </c>
      <c r="H107" s="34">
        <f t="shared" si="71"/>
        <v>44</v>
      </c>
      <c r="I107" s="34">
        <f t="shared" si="72"/>
        <v>43</v>
      </c>
      <c r="J107" s="34">
        <f t="shared" si="73"/>
        <v>42</v>
      </c>
      <c r="K107" s="79">
        <f t="shared" si="67"/>
        <v>0</v>
      </c>
      <c r="L107" s="33">
        <f t="shared" si="68"/>
        <v>0</v>
      </c>
      <c r="M107" s="98">
        <f t="shared" si="69"/>
        <v>0</v>
      </c>
      <c r="N107" s="66">
        <f t="shared" si="70"/>
        <v>3.5133723538969264E-2</v>
      </c>
      <c r="O107" s="99">
        <v>-9</v>
      </c>
      <c r="P107" s="33">
        <f t="shared" si="74"/>
        <v>-51.035133723538969</v>
      </c>
      <c r="Q107" s="97">
        <f t="shared" si="78"/>
        <v>7.8792816999513161E-6</v>
      </c>
      <c r="R107" s="34">
        <v>-10</v>
      </c>
      <c r="S107" s="33">
        <f t="shared" si="75"/>
        <v>-52.035133723538969</v>
      </c>
      <c r="T107" s="97">
        <f t="shared" si="65"/>
        <v>6.2587359236176597E-6</v>
      </c>
      <c r="U107" s="34">
        <v>-10</v>
      </c>
      <c r="V107" s="33">
        <f t="shared" si="79"/>
        <v>-52.035133723538969</v>
      </c>
      <c r="W107" s="97">
        <f t="shared" si="76"/>
        <v>6.2587359236176597E-6</v>
      </c>
      <c r="X107" s="34">
        <v>-10</v>
      </c>
      <c r="Y107" s="33">
        <f t="shared" si="77"/>
        <v>-52.035133723538969</v>
      </c>
      <c r="Z107" s="97">
        <f t="shared" si="63"/>
        <v>6.2587359236176597E-6</v>
      </c>
    </row>
    <row r="108" spans="2:26" x14ac:dyDescent="0.2">
      <c r="B108" s="13">
        <v>2000</v>
      </c>
      <c r="C108" s="33">
        <f>'3º Alta Frec'!H101</f>
        <v>43.909079966454954</v>
      </c>
      <c r="D108" s="33">
        <f>'3º Alta Frec'!R101</f>
        <v>44.281201164595274</v>
      </c>
      <c r="E108" s="34">
        <f t="shared" si="60"/>
        <v>2</v>
      </c>
      <c r="F108" s="112">
        <f t="shared" si="61"/>
        <v>44.091156176694</v>
      </c>
      <c r="G108" s="13">
        <v>56</v>
      </c>
      <c r="H108" s="34">
        <f t="shared" si="71"/>
        <v>44</v>
      </c>
      <c r="I108" s="34">
        <f t="shared" si="72"/>
        <v>43</v>
      </c>
      <c r="J108" s="34">
        <f t="shared" si="73"/>
        <v>42</v>
      </c>
      <c r="K108" s="79">
        <f t="shared" si="67"/>
        <v>0</v>
      </c>
      <c r="L108" s="33">
        <f t="shared" si="68"/>
        <v>9.1156176693999669E-2</v>
      </c>
      <c r="M108" s="98">
        <f t="shared" si="69"/>
        <v>1.0911561766939997</v>
      </c>
      <c r="N108" s="66">
        <f t="shared" si="70"/>
        <v>2.0911561766939997</v>
      </c>
      <c r="O108" s="99">
        <v>-9</v>
      </c>
      <c r="P108" s="33">
        <f t="shared" si="74"/>
        <v>-53.091156176694</v>
      </c>
      <c r="Q108" s="97">
        <f t="shared" si="78"/>
        <v>4.9077720428691649E-6</v>
      </c>
      <c r="R108" s="34">
        <v>-10</v>
      </c>
      <c r="S108" s="33">
        <f t="shared" si="75"/>
        <v>-54.091156176694</v>
      </c>
      <c r="T108" s="97">
        <f t="shared" si="65"/>
        <v>3.8983819032414483E-6</v>
      </c>
      <c r="U108" s="34">
        <v>-11</v>
      </c>
      <c r="V108" s="33">
        <f t="shared" si="79"/>
        <v>-55.091156176694</v>
      </c>
      <c r="W108" s="97">
        <f t="shared" si="76"/>
        <v>3.0965948154828669E-6</v>
      </c>
      <c r="X108" s="34">
        <v>-11</v>
      </c>
      <c r="Y108" s="33">
        <f t="shared" si="77"/>
        <v>-55.091156176694</v>
      </c>
      <c r="Z108" s="97">
        <f t="shared" si="63"/>
        <v>3.0965948154828669E-6</v>
      </c>
    </row>
    <row r="109" spans="2:26" x14ac:dyDescent="0.2">
      <c r="B109" s="13">
        <v>2500</v>
      </c>
      <c r="C109" s="33">
        <f>'3º Alta Frec'!H102</f>
        <v>42.492587516973138</v>
      </c>
      <c r="D109" s="33">
        <f>'3º Alta Frec'!R102</f>
        <v>44.850710754325597</v>
      </c>
      <c r="E109" s="34">
        <f t="shared" si="60"/>
        <v>2</v>
      </c>
      <c r="F109" s="112">
        <f t="shared" si="61"/>
        <v>43.513526351473516</v>
      </c>
      <c r="G109" s="13">
        <v>56</v>
      </c>
      <c r="H109" s="34">
        <f t="shared" si="71"/>
        <v>44</v>
      </c>
      <c r="I109" s="34">
        <f t="shared" si="72"/>
        <v>43</v>
      </c>
      <c r="J109" s="34">
        <f t="shared" si="73"/>
        <v>42</v>
      </c>
      <c r="K109" s="79">
        <f t="shared" si="67"/>
        <v>0</v>
      </c>
      <c r="L109" s="33">
        <f t="shared" si="68"/>
        <v>0</v>
      </c>
      <c r="M109" s="98">
        <f t="shared" si="69"/>
        <v>0.51352635147351577</v>
      </c>
      <c r="N109" s="66">
        <f t="shared" si="70"/>
        <v>1.5135263514735158</v>
      </c>
      <c r="O109" s="99">
        <v>-9</v>
      </c>
      <c r="P109" s="33">
        <f t="shared" si="74"/>
        <v>-52.513526351473516</v>
      </c>
      <c r="Q109" s="97">
        <f t="shared" si="78"/>
        <v>5.6059260544123067E-6</v>
      </c>
      <c r="R109" s="34">
        <v>-10</v>
      </c>
      <c r="S109" s="33">
        <f t="shared" si="75"/>
        <v>-53.513526351473516</v>
      </c>
      <c r="T109" s="97">
        <f t="shared" si="65"/>
        <v>4.4529453467961806E-6</v>
      </c>
      <c r="U109" s="34">
        <v>-13</v>
      </c>
      <c r="V109" s="33">
        <f t="shared" si="79"/>
        <v>-56.513526351473516</v>
      </c>
      <c r="W109" s="97">
        <f t="shared" si="76"/>
        <v>2.2317593598542145E-6</v>
      </c>
      <c r="X109" s="34">
        <v>-13</v>
      </c>
      <c r="Y109" s="33">
        <f t="shared" si="77"/>
        <v>-56.513526351473516</v>
      </c>
      <c r="Z109" s="97">
        <f t="shared" si="63"/>
        <v>2.2317593598542145E-6</v>
      </c>
    </row>
    <row r="110" spans="2:26" x14ac:dyDescent="0.2">
      <c r="B110" s="13">
        <v>3150</v>
      </c>
      <c r="C110" s="33">
        <f>'3º Alta Frec'!H103</f>
        <v>39.030940851723003</v>
      </c>
      <c r="D110" s="33">
        <f>'3º Alta Frec'!R103</f>
        <v>42.90062954588133</v>
      </c>
      <c r="E110" s="34">
        <f t="shared" si="60"/>
        <v>2</v>
      </c>
      <c r="F110" s="112">
        <f t="shared" si="61"/>
        <v>40.548330513330122</v>
      </c>
      <c r="G110" s="13">
        <v>56</v>
      </c>
      <c r="H110" s="34">
        <f t="shared" si="71"/>
        <v>44</v>
      </c>
      <c r="I110" s="34">
        <f t="shared" si="72"/>
        <v>43</v>
      </c>
      <c r="J110" s="34">
        <f t="shared" si="73"/>
        <v>42</v>
      </c>
      <c r="K110" s="79">
        <f t="shared" si="67"/>
        <v>0</v>
      </c>
      <c r="L110" s="33">
        <f t="shared" si="68"/>
        <v>0</v>
      </c>
      <c r="M110" s="98">
        <f t="shared" si="69"/>
        <v>0</v>
      </c>
      <c r="N110" s="66">
        <f t="shared" si="70"/>
        <v>0</v>
      </c>
      <c r="O110" s="99">
        <v>-9</v>
      </c>
      <c r="P110" s="33">
        <f t="shared" si="74"/>
        <v>-49.548330513330122</v>
      </c>
      <c r="Q110" s="97">
        <f t="shared" si="78"/>
        <v>1.1096012790124095E-5</v>
      </c>
      <c r="R110" s="34">
        <v>-10</v>
      </c>
      <c r="S110" s="33">
        <f t="shared" si="75"/>
        <v>-50.548330513330122</v>
      </c>
      <c r="T110" s="97">
        <f t="shared" si="65"/>
        <v>8.8138762520573283E-6</v>
      </c>
      <c r="U110" s="34">
        <v>-15</v>
      </c>
      <c r="V110" s="33">
        <f t="shared" si="79"/>
        <v>-55.548330513330122</v>
      </c>
      <c r="W110" s="97">
        <f t="shared" si="76"/>
        <v>2.7871923971369483E-6</v>
      </c>
      <c r="X110" s="34">
        <v>-15</v>
      </c>
      <c r="Y110" s="33">
        <f t="shared" si="77"/>
        <v>-55.548330513330122</v>
      </c>
      <c r="Z110" s="97">
        <f t="shared" si="63"/>
        <v>2.7871923971369483E-6</v>
      </c>
    </row>
    <row r="111" spans="2:26" x14ac:dyDescent="0.2">
      <c r="B111" s="13">
        <v>4000</v>
      </c>
      <c r="C111" s="33">
        <f>'3º Alta Frec'!H104</f>
        <v>42.997001015700377</v>
      </c>
      <c r="D111" s="33">
        <f>'3º Alta Frec'!R104</f>
        <v>44.34204575425909</v>
      </c>
      <c r="E111" s="34">
        <f t="shared" si="60"/>
        <v>2</v>
      </c>
      <c r="F111" s="112">
        <f t="shared" si="61"/>
        <v>43.617658784832457</v>
      </c>
      <c r="G111" s="13"/>
      <c r="H111" s="18"/>
      <c r="I111" s="18"/>
      <c r="J111" s="18"/>
      <c r="K111" s="13"/>
      <c r="L111" s="18"/>
      <c r="M111" s="95"/>
      <c r="N111" s="96"/>
      <c r="O111" s="99"/>
      <c r="P111" s="18"/>
      <c r="Q111" s="97"/>
      <c r="R111" s="34">
        <v>-10</v>
      </c>
      <c r="S111" s="33">
        <f t="shared" si="75"/>
        <v>-53.617658784832457</v>
      </c>
      <c r="T111" s="97">
        <f t="shared" si="65"/>
        <v>4.3474452514004594E-6</v>
      </c>
      <c r="U111" s="18"/>
      <c r="V111" s="18"/>
      <c r="W111" s="97"/>
      <c r="X111" s="34">
        <v>-16</v>
      </c>
      <c r="Y111" s="33">
        <f t="shared" si="77"/>
        <v>-59.617658784832457</v>
      </c>
      <c r="Z111" s="97">
        <f t="shared" si="63"/>
        <v>1.0920288738723555E-6</v>
      </c>
    </row>
    <row r="112" spans="2:26" x14ac:dyDescent="0.2">
      <c r="B112" s="15">
        <v>5000</v>
      </c>
      <c r="C112" s="23">
        <f>'3º Alta Frec'!H105</f>
        <v>45.914931267031527</v>
      </c>
      <c r="D112" s="23">
        <f>'3º Alta Frec'!R105</f>
        <v>47.13133795856043</v>
      </c>
      <c r="E112" s="24">
        <f t="shared" si="60"/>
        <v>2</v>
      </c>
      <c r="F112" s="113">
        <f t="shared" si="61"/>
        <v>46.480685482662551</v>
      </c>
      <c r="G112" s="15"/>
      <c r="H112" s="16"/>
      <c r="I112" s="16"/>
      <c r="J112" s="16"/>
      <c r="K112" s="13"/>
      <c r="L112" s="18"/>
      <c r="M112" s="95"/>
      <c r="N112" s="96"/>
      <c r="O112" s="13"/>
      <c r="P112" s="18"/>
      <c r="Q112" s="97"/>
      <c r="R112" s="34">
        <v>-10</v>
      </c>
      <c r="S112" s="33">
        <f t="shared" si="75"/>
        <v>-56.480685482662551</v>
      </c>
      <c r="T112" s="97">
        <f t="shared" si="65"/>
        <v>2.2486996470828045E-6</v>
      </c>
      <c r="U112" s="18"/>
      <c r="V112" s="18"/>
      <c r="W112" s="97"/>
      <c r="X112" s="34">
        <v>-18</v>
      </c>
      <c r="Y112" s="33">
        <f t="shared" si="77"/>
        <v>-64.480685482662551</v>
      </c>
      <c r="Z112" s="97">
        <f t="shared" si="63"/>
        <v>3.5639487625512472E-7</v>
      </c>
    </row>
    <row r="113" spans="2:26" x14ac:dyDescent="0.2">
      <c r="K113" s="80">
        <f>SUM(K95:K110)</f>
        <v>0</v>
      </c>
      <c r="L113" s="23">
        <f t="shared" ref="L113:N113" si="80">SUM(L95:L110)</f>
        <v>21.527314093647398</v>
      </c>
      <c r="M113" s="102">
        <f t="shared" si="80"/>
        <v>27.286736352355661</v>
      </c>
      <c r="N113" s="59">
        <f t="shared" si="80"/>
        <v>34.32187007589463</v>
      </c>
      <c r="O113" s="79" t="s">
        <v>132</v>
      </c>
      <c r="P113" s="33">
        <f>52-13</f>
        <v>39</v>
      </c>
      <c r="Q113" s="103">
        <f>-10*LOG10(SUM(Q92:Q112))</f>
        <v>37.58609172949069</v>
      </c>
      <c r="R113" s="34"/>
      <c r="S113" s="33"/>
      <c r="T113" s="103">
        <f>-10*LOG10(SUM(T92:T112))</f>
        <v>38.341275905027516</v>
      </c>
      <c r="U113" s="33"/>
      <c r="V113" s="33"/>
      <c r="W113" s="103">
        <f>-10*LOG10(SUM(W92:W112))</f>
        <v>35.767097966609839</v>
      </c>
      <c r="X113" s="34"/>
      <c r="Y113" s="33"/>
      <c r="Z113" s="103">
        <f>-10*LOG10(SUM(Z92:Z112))</f>
        <v>35.218326933707615</v>
      </c>
    </row>
    <row r="114" spans="2:26" x14ac:dyDescent="0.2">
      <c r="O114" s="15"/>
      <c r="P114" s="16"/>
      <c r="Q114" s="114">
        <f>ROUND(Q113,0)-P113</f>
        <v>-1</v>
      </c>
      <c r="R114" s="16"/>
      <c r="S114" s="16"/>
      <c r="T114" s="114">
        <f>ROUND(T113,0)-P113</f>
        <v>-1</v>
      </c>
      <c r="U114" s="16"/>
      <c r="V114" s="16"/>
      <c r="W114" s="114">
        <f>ROUND(W113,0)-P113</f>
        <v>-3</v>
      </c>
      <c r="X114" s="16"/>
      <c r="Y114" s="16"/>
      <c r="Z114" s="114">
        <f>ROUND(Z113,0)-P113</f>
        <v>-4</v>
      </c>
    </row>
    <row r="115" spans="2:26" x14ac:dyDescent="0.2">
      <c r="E115" s="2" t="s">
        <v>92</v>
      </c>
    </row>
    <row r="119" spans="2:26" x14ac:dyDescent="0.2">
      <c r="F119" s="172" t="s">
        <v>46</v>
      </c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4"/>
    </row>
    <row r="120" spans="2:26" x14ac:dyDescent="0.2">
      <c r="B120" s="61" t="s">
        <v>46</v>
      </c>
      <c r="C120" s="62"/>
      <c r="D120" s="62"/>
      <c r="E120" s="62"/>
      <c r="F120" s="184"/>
      <c r="G120" s="162" t="s">
        <v>96</v>
      </c>
      <c r="H120" s="163"/>
      <c r="I120" s="163"/>
      <c r="J120" s="163"/>
      <c r="K120" s="186" t="s">
        <v>95</v>
      </c>
      <c r="L120" s="187"/>
      <c r="M120" s="187"/>
      <c r="N120" s="188"/>
      <c r="O120" s="189" t="s">
        <v>99</v>
      </c>
      <c r="P120" s="190"/>
      <c r="Q120" s="191"/>
      <c r="R120" s="192" t="s">
        <v>97</v>
      </c>
      <c r="S120" s="192"/>
      <c r="T120" s="193"/>
      <c r="U120" s="190" t="s">
        <v>100</v>
      </c>
      <c r="V120" s="190"/>
      <c r="W120" s="191"/>
      <c r="X120" s="192" t="s">
        <v>98</v>
      </c>
      <c r="Y120" s="192"/>
      <c r="Z120" s="193"/>
    </row>
    <row r="121" spans="2:26" ht="33" customHeight="1" x14ac:dyDescent="0.2">
      <c r="B121" s="28"/>
      <c r="C121" s="29"/>
      <c r="D121" s="29"/>
      <c r="E121" s="29"/>
      <c r="F121" s="185"/>
      <c r="G121" s="15" t="s">
        <v>94</v>
      </c>
      <c r="H121" s="16" t="s">
        <v>89</v>
      </c>
      <c r="I121" s="107" t="s">
        <v>90</v>
      </c>
      <c r="J121" s="108" t="s">
        <v>105</v>
      </c>
      <c r="K121" s="15" t="s">
        <v>94</v>
      </c>
      <c r="L121" s="16" t="s">
        <v>89</v>
      </c>
      <c r="M121" s="16" t="s">
        <v>90</v>
      </c>
      <c r="N121" s="108" t="s">
        <v>105</v>
      </c>
      <c r="O121" s="91" t="s">
        <v>126</v>
      </c>
      <c r="P121" s="75"/>
      <c r="Q121" s="92"/>
      <c r="R121" s="88" t="s">
        <v>126</v>
      </c>
      <c r="S121" s="88"/>
      <c r="T121" s="92"/>
      <c r="U121" s="88" t="s">
        <v>126</v>
      </c>
      <c r="V121" s="75"/>
      <c r="W121" s="92"/>
      <c r="X121" s="88" t="s">
        <v>126</v>
      </c>
      <c r="Y121" s="88"/>
      <c r="Z121" s="92"/>
    </row>
    <row r="122" spans="2:26" x14ac:dyDescent="0.2">
      <c r="B122" s="13">
        <v>50</v>
      </c>
      <c r="C122" s="33">
        <f>'3º Alta Frec'!H112</f>
        <v>38.696253928680505</v>
      </c>
      <c r="D122" s="33">
        <f>'3º Alta Frec'!R112</f>
        <v>39.715335127254633</v>
      </c>
      <c r="E122" s="34">
        <f t="shared" ref="E122:E142" si="81">COUNT(C122:D122)</f>
        <v>2</v>
      </c>
      <c r="F122" s="112">
        <f t="shared" ref="F122:F142" si="82">-10*LOG10((10^(-C122/10)+10^(-D122/10))/E122)</f>
        <v>39.175971659517906</v>
      </c>
      <c r="G122" s="77"/>
      <c r="H122" s="78"/>
      <c r="I122" s="78"/>
      <c r="J122" s="78"/>
      <c r="K122" s="77"/>
      <c r="L122" s="78"/>
      <c r="M122" s="109"/>
      <c r="N122" s="110"/>
      <c r="O122" s="13"/>
      <c r="P122" s="18"/>
      <c r="Q122" s="97"/>
      <c r="R122" s="34">
        <v>-41</v>
      </c>
      <c r="S122" s="33">
        <f>R122-F122</f>
        <v>-80.175971659517899</v>
      </c>
      <c r="T122" s="97">
        <f>10^(S122/10)</f>
        <v>9.6029094569921578E-9</v>
      </c>
      <c r="U122" s="18"/>
      <c r="V122" s="18"/>
      <c r="W122" s="97"/>
      <c r="X122" s="34">
        <v>-25</v>
      </c>
      <c r="Y122" s="33">
        <f t="shared" ref="Y122" si="83">X122-F122</f>
        <v>-64.175971659517899</v>
      </c>
      <c r="Z122" s="97">
        <f t="shared" ref="Z122:Z142" si="84">10^(Y122/10)</f>
        <v>3.8229871130045652E-7</v>
      </c>
    </row>
    <row r="123" spans="2:26" x14ac:dyDescent="0.2">
      <c r="B123" s="13">
        <v>63</v>
      </c>
      <c r="C123" s="33">
        <f>'3º Alta Frec'!H113</f>
        <v>53.017053183500913</v>
      </c>
      <c r="D123" s="33">
        <f>'3º Alta Frec'!R113</f>
        <v>44.335108309972711</v>
      </c>
      <c r="E123" s="34">
        <f t="shared" si="81"/>
        <v>2</v>
      </c>
      <c r="F123" s="112">
        <f t="shared" si="82"/>
        <v>46.793696503059692</v>
      </c>
      <c r="G123" s="13"/>
      <c r="H123" s="18"/>
      <c r="I123" s="18"/>
      <c r="J123" s="18"/>
      <c r="K123" s="13"/>
      <c r="L123" s="18"/>
      <c r="M123" s="95"/>
      <c r="N123" s="96"/>
      <c r="O123" s="13"/>
      <c r="P123" s="18"/>
      <c r="Q123" s="97"/>
      <c r="R123" s="34">
        <v>-37</v>
      </c>
      <c r="S123" s="33">
        <f t="shared" ref="S123:S124" si="85">R123-F123</f>
        <v>-83.793696503059692</v>
      </c>
      <c r="T123" s="97">
        <f t="shared" ref="T123:T142" si="86">10^(S123/10)</f>
        <v>4.1747488110094434E-9</v>
      </c>
      <c r="U123" s="18"/>
      <c r="V123" s="18"/>
      <c r="W123" s="97"/>
      <c r="X123" s="34">
        <v>-23</v>
      </c>
      <c r="Y123" s="33">
        <f>X123-F123</f>
        <v>-69.793696503059692</v>
      </c>
      <c r="Z123" s="97">
        <f t="shared" si="84"/>
        <v>1.048649489333542E-7</v>
      </c>
    </row>
    <row r="124" spans="2:26" x14ac:dyDescent="0.2">
      <c r="B124" s="13">
        <v>80</v>
      </c>
      <c r="C124" s="33">
        <f>'3º Alta Frec'!H114</f>
        <v>44.750539325409626</v>
      </c>
      <c r="D124" s="33">
        <f>'3º Alta Frec'!R114</f>
        <v>42.118420391767586</v>
      </c>
      <c r="E124" s="34">
        <f t="shared" si="81"/>
        <v>2</v>
      </c>
      <c r="F124" s="112">
        <f t="shared" si="82"/>
        <v>43.238053720111026</v>
      </c>
      <c r="G124" s="13"/>
      <c r="H124" s="18"/>
      <c r="I124" s="18"/>
      <c r="J124" s="18"/>
      <c r="K124" s="13"/>
      <c r="L124" s="18"/>
      <c r="M124" s="95"/>
      <c r="N124" s="96"/>
      <c r="O124" s="13"/>
      <c r="P124" s="18"/>
      <c r="Q124" s="97"/>
      <c r="R124" s="34">
        <v>-34</v>
      </c>
      <c r="S124" s="33">
        <f t="shared" si="85"/>
        <v>-77.238053720111026</v>
      </c>
      <c r="T124" s="97">
        <f t="shared" si="86"/>
        <v>1.8888376373273938E-8</v>
      </c>
      <c r="U124" s="18"/>
      <c r="V124" s="18"/>
      <c r="W124" s="97"/>
      <c r="X124" s="34">
        <v>-21</v>
      </c>
      <c r="Y124" s="33">
        <f t="shared" ref="Y124" si="87">X124-F124</f>
        <v>-64.238053720111026</v>
      </c>
      <c r="Z124" s="97">
        <f t="shared" si="84"/>
        <v>3.768726556854205E-7</v>
      </c>
    </row>
    <row r="125" spans="2:26" x14ac:dyDescent="0.2">
      <c r="B125" s="13">
        <v>100</v>
      </c>
      <c r="C125" s="33">
        <f>'3º Alta Frec'!H115</f>
        <v>47.771524719960468</v>
      </c>
      <c r="D125" s="33">
        <f>'3º Alta Frec'!R115</f>
        <v>34.966117796077967</v>
      </c>
      <c r="E125" s="34">
        <f t="shared" si="81"/>
        <v>2</v>
      </c>
      <c r="F125" s="112">
        <f t="shared" si="82"/>
        <v>37.754545606961109</v>
      </c>
      <c r="G125" s="13">
        <v>33</v>
      </c>
      <c r="H125" s="18">
        <f>$G125+7</f>
        <v>40</v>
      </c>
      <c r="I125" s="18">
        <f>$G125+8</f>
        <v>41</v>
      </c>
      <c r="J125" s="18">
        <f>$G125+9</f>
        <v>42</v>
      </c>
      <c r="K125" s="79">
        <f t="shared" ref="K125:K140" si="88">IF((F125-G125)&gt;0,F125-G125,0)</f>
        <v>4.7545456069611092</v>
      </c>
      <c r="L125" s="33">
        <f t="shared" ref="L125:L140" si="89">IF((F125-H125)&gt;0,F125-H125,0)</f>
        <v>0</v>
      </c>
      <c r="M125" s="98">
        <f t="shared" ref="M125:M140" si="90">IF((F125-I125)&gt;0,F125-I125,0)</f>
        <v>0</v>
      </c>
      <c r="N125" s="66">
        <f t="shared" ref="N125:N140" si="91">IF((F125-J125)&gt;0,F125-J125,0)</f>
        <v>0</v>
      </c>
      <c r="O125" s="99">
        <v>-29</v>
      </c>
      <c r="P125" s="33">
        <f>O125-F125</f>
        <v>-66.754545606961102</v>
      </c>
      <c r="Q125" s="97">
        <f>10^(P125/10)</f>
        <v>2.1112780827685044E-7</v>
      </c>
      <c r="R125" s="34">
        <v>-30</v>
      </c>
      <c r="S125" s="33">
        <f>R125-F125</f>
        <v>-67.754545606961102</v>
      </c>
      <c r="T125" s="97">
        <f>10^(S125/10)</f>
        <v>1.6770477924975732E-7</v>
      </c>
      <c r="U125" s="34">
        <v>-20</v>
      </c>
      <c r="V125" s="33">
        <f>U125-F125</f>
        <v>-57.754545606961109</v>
      </c>
      <c r="W125" s="97">
        <f>10^(V125/10)</f>
        <v>1.6770477924975691E-6</v>
      </c>
      <c r="X125" s="34">
        <v>-20</v>
      </c>
      <c r="Y125" s="33">
        <f>X125-F125</f>
        <v>-57.754545606961109</v>
      </c>
      <c r="Z125" s="97">
        <f>10^(Y125/10)</f>
        <v>1.6770477924975691E-6</v>
      </c>
    </row>
    <row r="126" spans="2:26" x14ac:dyDescent="0.2">
      <c r="B126" s="13">
        <v>125</v>
      </c>
      <c r="C126" s="33">
        <f>'3º Alta Frec'!H116</f>
        <v>44.877730425631036</v>
      </c>
      <c r="D126" s="33">
        <f>'3º Alta Frec'!R116</f>
        <v>39.098731876965957</v>
      </c>
      <c r="E126" s="34">
        <f t="shared" si="81"/>
        <v>2</v>
      </c>
      <c r="F126" s="112">
        <f t="shared" si="82"/>
        <v>41.090524220378029</v>
      </c>
      <c r="G126" s="13">
        <v>36</v>
      </c>
      <c r="H126" s="18">
        <f t="shared" ref="H126:H140" si="92">$G126+7</f>
        <v>43</v>
      </c>
      <c r="I126" s="18">
        <f t="shared" ref="I126:I140" si="93">$G126+8</f>
        <v>44</v>
      </c>
      <c r="J126" s="18">
        <f t="shared" ref="J126:J140" si="94">$G126+9</f>
        <v>45</v>
      </c>
      <c r="K126" s="79">
        <f t="shared" si="88"/>
        <v>5.090524220378029</v>
      </c>
      <c r="L126" s="33">
        <f t="shared" si="89"/>
        <v>0</v>
      </c>
      <c r="M126" s="98">
        <f t="shared" si="90"/>
        <v>0</v>
      </c>
      <c r="N126" s="66">
        <f t="shared" si="91"/>
        <v>0</v>
      </c>
      <c r="O126" s="99">
        <v>-26</v>
      </c>
      <c r="P126" s="33">
        <f t="shared" ref="P126:P140" si="95">O126-F126</f>
        <v>-67.090524220378029</v>
      </c>
      <c r="Q126" s="97">
        <f>10^(P126/10)</f>
        <v>1.9541035691175023E-7</v>
      </c>
      <c r="R126" s="34">
        <v>-27</v>
      </c>
      <c r="S126" s="33">
        <f t="shared" ref="S126:S142" si="96">R126-F126</f>
        <v>-68.090524220378029</v>
      </c>
      <c r="T126" s="97">
        <f t="shared" si="86"/>
        <v>1.5521996385255225E-7</v>
      </c>
      <c r="U126" s="34">
        <v>-20</v>
      </c>
      <c r="V126" s="33">
        <f>U126-F126</f>
        <v>-61.090524220378029</v>
      </c>
      <c r="W126" s="97">
        <f t="shared" ref="W126:W140" si="97">10^(V126/10)</f>
        <v>7.7794264286985878E-7</v>
      </c>
      <c r="X126" s="34">
        <v>-20</v>
      </c>
      <c r="Y126" s="33">
        <f t="shared" ref="Y126:Y142" si="98">X126-F126</f>
        <v>-61.090524220378029</v>
      </c>
      <c r="Z126" s="97">
        <f t="shared" si="84"/>
        <v>7.7794264286985878E-7</v>
      </c>
    </row>
    <row r="127" spans="2:26" x14ac:dyDescent="0.2">
      <c r="B127" s="13">
        <v>160</v>
      </c>
      <c r="C127" s="33">
        <f>'3º Alta Frec'!H117</f>
        <v>48.709061316775966</v>
      </c>
      <c r="D127" s="33">
        <f>'3º Alta Frec'!R117</f>
        <v>48.57135007750847</v>
      </c>
      <c r="E127" s="34">
        <f t="shared" si="81"/>
        <v>2</v>
      </c>
      <c r="F127" s="112">
        <f t="shared" si="82"/>
        <v>48.639659881118845</v>
      </c>
      <c r="G127" s="13">
        <v>39</v>
      </c>
      <c r="H127" s="18">
        <f t="shared" si="92"/>
        <v>46</v>
      </c>
      <c r="I127" s="18">
        <f t="shared" si="93"/>
        <v>47</v>
      </c>
      <c r="J127" s="18">
        <f t="shared" si="94"/>
        <v>48</v>
      </c>
      <c r="K127" s="79">
        <f t="shared" si="88"/>
        <v>9.6396598811188454</v>
      </c>
      <c r="L127" s="33">
        <f t="shared" si="89"/>
        <v>2.6396598811188454</v>
      </c>
      <c r="M127" s="98">
        <f t="shared" si="90"/>
        <v>1.6396598811188454</v>
      </c>
      <c r="N127" s="66">
        <f t="shared" si="91"/>
        <v>0.63965988111884542</v>
      </c>
      <c r="O127" s="99">
        <v>-23</v>
      </c>
      <c r="P127" s="33">
        <f t="shared" si="95"/>
        <v>-71.639659881118845</v>
      </c>
      <c r="Q127" s="97">
        <f t="shared" ref="Q127:Q140" si="99">10^(P127/10)</f>
        <v>6.8554191274803929E-8</v>
      </c>
      <c r="R127" s="34">
        <v>-24</v>
      </c>
      <c r="S127" s="33">
        <f t="shared" si="96"/>
        <v>-72.639659881118845</v>
      </c>
      <c r="T127" s="97">
        <f t="shared" si="86"/>
        <v>5.4454529738265803E-8</v>
      </c>
      <c r="U127" s="34">
        <v>-18</v>
      </c>
      <c r="V127" s="33">
        <f t="shared" ref="V127:V140" si="100">U127-F127</f>
        <v>-66.639659881118845</v>
      </c>
      <c r="W127" s="97">
        <f t="shared" si="97"/>
        <v>2.1678738757922225E-7</v>
      </c>
      <c r="X127" s="34">
        <v>-18</v>
      </c>
      <c r="Y127" s="33">
        <f t="shared" si="98"/>
        <v>-66.639659881118845</v>
      </c>
      <c r="Z127" s="97">
        <f t="shared" si="84"/>
        <v>2.1678738757922225E-7</v>
      </c>
    </row>
    <row r="128" spans="2:26" x14ac:dyDescent="0.2">
      <c r="B128" s="13">
        <v>200</v>
      </c>
      <c r="C128" s="33">
        <f>'3º Alta Frec'!H118</f>
        <v>54.755442794669591</v>
      </c>
      <c r="D128" s="33">
        <f>'3º Alta Frec'!R118</f>
        <v>50.139464995074555</v>
      </c>
      <c r="E128" s="34">
        <f t="shared" si="81"/>
        <v>2</v>
      </c>
      <c r="F128" s="112">
        <f t="shared" si="82"/>
        <v>51.861045613517931</v>
      </c>
      <c r="G128" s="13">
        <v>42</v>
      </c>
      <c r="H128" s="18">
        <f t="shared" si="92"/>
        <v>49</v>
      </c>
      <c r="I128" s="18">
        <f t="shared" si="93"/>
        <v>50</v>
      </c>
      <c r="J128" s="18">
        <f t="shared" si="94"/>
        <v>51</v>
      </c>
      <c r="K128" s="79">
        <f t="shared" si="88"/>
        <v>9.8610456135179305</v>
      </c>
      <c r="L128" s="33">
        <f t="shared" si="89"/>
        <v>2.8610456135179305</v>
      </c>
      <c r="M128" s="98">
        <f t="shared" si="90"/>
        <v>1.8610456135179305</v>
      </c>
      <c r="N128" s="66">
        <f t="shared" si="91"/>
        <v>0.86104561351793052</v>
      </c>
      <c r="O128" s="99">
        <v>-21</v>
      </c>
      <c r="P128" s="33">
        <f t="shared" si="95"/>
        <v>-72.861045613517931</v>
      </c>
      <c r="Q128" s="97">
        <f t="shared" si="99"/>
        <v>5.1748222720052054E-8</v>
      </c>
      <c r="R128" s="34">
        <v>-22</v>
      </c>
      <c r="S128" s="33">
        <f t="shared" si="96"/>
        <v>-73.861045613517931</v>
      </c>
      <c r="T128" s="97">
        <f t="shared" si="86"/>
        <v>4.1105074403337939E-8</v>
      </c>
      <c r="U128" s="34">
        <v>-16</v>
      </c>
      <c r="V128" s="33">
        <f t="shared" si="100"/>
        <v>-67.861045613517931</v>
      </c>
      <c r="W128" s="97">
        <f t="shared" si="97"/>
        <v>1.6364224866103817E-7</v>
      </c>
      <c r="X128" s="34">
        <v>-16</v>
      </c>
      <c r="Y128" s="33">
        <f t="shared" si="98"/>
        <v>-67.861045613517931</v>
      </c>
      <c r="Z128" s="97">
        <f t="shared" si="84"/>
        <v>1.6364224866103817E-7</v>
      </c>
    </row>
    <row r="129" spans="2:26" x14ac:dyDescent="0.2">
      <c r="B129" s="13">
        <v>250</v>
      </c>
      <c r="C129" s="33">
        <f>'3º Alta Frec'!H119</f>
        <v>56.702815270183009</v>
      </c>
      <c r="D129" s="33">
        <f>'3º Alta Frec'!R119</f>
        <v>54.839260604442352</v>
      </c>
      <c r="E129" s="34">
        <f t="shared" si="81"/>
        <v>2</v>
      </c>
      <c r="F129" s="112">
        <f t="shared" si="82"/>
        <v>55.671839255858927</v>
      </c>
      <c r="G129" s="100">
        <v>45</v>
      </c>
      <c r="H129" s="18">
        <f t="shared" si="92"/>
        <v>52</v>
      </c>
      <c r="I129" s="18">
        <f t="shared" si="93"/>
        <v>53</v>
      </c>
      <c r="J129" s="18">
        <f t="shared" si="94"/>
        <v>54</v>
      </c>
      <c r="K129" s="79">
        <f t="shared" si="88"/>
        <v>10.671839255858927</v>
      </c>
      <c r="L129" s="33">
        <f t="shared" si="89"/>
        <v>3.6718392558589272</v>
      </c>
      <c r="M129" s="98">
        <f t="shared" si="90"/>
        <v>2.6718392558589272</v>
      </c>
      <c r="N129" s="66">
        <f t="shared" si="91"/>
        <v>1.6718392558589272</v>
      </c>
      <c r="O129" s="99">
        <v>-19</v>
      </c>
      <c r="P129" s="33">
        <f t="shared" si="95"/>
        <v>-74.671839255858927</v>
      </c>
      <c r="Q129" s="97">
        <f t="shared" si="99"/>
        <v>3.4104844554569302E-8</v>
      </c>
      <c r="R129" s="34">
        <v>-20</v>
      </c>
      <c r="S129" s="33">
        <f t="shared" si="96"/>
        <v>-75.671839255858927</v>
      </c>
      <c r="T129" s="97">
        <f t="shared" si="86"/>
        <v>2.7090440970577084E-8</v>
      </c>
      <c r="U129" s="34">
        <v>-15</v>
      </c>
      <c r="V129" s="33">
        <f t="shared" si="100"/>
        <v>-70.671839255858927</v>
      </c>
      <c r="W129" s="97">
        <f t="shared" si="97"/>
        <v>8.5667496285366295E-8</v>
      </c>
      <c r="X129" s="34">
        <v>-15</v>
      </c>
      <c r="Y129" s="33">
        <f t="shared" si="98"/>
        <v>-70.671839255858927</v>
      </c>
      <c r="Z129" s="97">
        <f t="shared" si="84"/>
        <v>8.5667496285366295E-8</v>
      </c>
    </row>
    <row r="130" spans="2:26" x14ac:dyDescent="0.2">
      <c r="B130" s="13">
        <v>315</v>
      </c>
      <c r="C130" s="33">
        <f>'3º Alta Frec'!H120</f>
        <v>56.044516940885295</v>
      </c>
      <c r="D130" s="33">
        <f>'3º Alta Frec'!R120</f>
        <v>52.912782339938303</v>
      </c>
      <c r="E130" s="34">
        <f t="shared" si="81"/>
        <v>2</v>
      </c>
      <c r="F130" s="112">
        <f t="shared" si="82"/>
        <v>54.202271825718924</v>
      </c>
      <c r="G130" s="100">
        <v>48</v>
      </c>
      <c r="H130" s="18">
        <f t="shared" si="92"/>
        <v>55</v>
      </c>
      <c r="I130" s="18">
        <f t="shared" si="93"/>
        <v>56</v>
      </c>
      <c r="J130" s="18">
        <f t="shared" si="94"/>
        <v>57</v>
      </c>
      <c r="K130" s="79">
        <f t="shared" si="88"/>
        <v>6.202271825718924</v>
      </c>
      <c r="L130" s="33">
        <f t="shared" si="89"/>
        <v>0</v>
      </c>
      <c r="M130" s="98">
        <f t="shared" si="90"/>
        <v>0</v>
      </c>
      <c r="N130" s="66">
        <f t="shared" si="91"/>
        <v>0</v>
      </c>
      <c r="O130" s="99">
        <v>-17</v>
      </c>
      <c r="P130" s="33">
        <f t="shared" si="95"/>
        <v>-71.202271825718924</v>
      </c>
      <c r="Q130" s="97">
        <f t="shared" si="99"/>
        <v>7.5818086140624825E-8</v>
      </c>
      <c r="R130" s="34">
        <v>-18</v>
      </c>
      <c r="S130" s="33">
        <f t="shared" si="96"/>
        <v>-72.202271825718924</v>
      </c>
      <c r="T130" s="97">
        <f t="shared" si="86"/>
        <v>6.0224446524256088E-8</v>
      </c>
      <c r="U130" s="34">
        <v>-14</v>
      </c>
      <c r="V130" s="33">
        <f t="shared" si="100"/>
        <v>-68.202271825718924</v>
      </c>
      <c r="W130" s="97">
        <f t="shared" si="97"/>
        <v>1.5127697006945314E-7</v>
      </c>
      <c r="X130" s="34">
        <v>-14</v>
      </c>
      <c r="Y130" s="33">
        <f t="shared" si="98"/>
        <v>-68.202271825718924</v>
      </c>
      <c r="Z130" s="97">
        <f t="shared" si="84"/>
        <v>1.5127697006945314E-7</v>
      </c>
    </row>
    <row r="131" spans="2:26" x14ac:dyDescent="0.2">
      <c r="B131" s="13">
        <v>400</v>
      </c>
      <c r="C131" s="33">
        <f>'3º Alta Frec'!H121</f>
        <v>57.76752109640011</v>
      </c>
      <c r="D131" s="33">
        <f>'3º Alta Frec'!R121</f>
        <v>56.181217048181047</v>
      </c>
      <c r="E131" s="34">
        <f t="shared" si="81"/>
        <v>2</v>
      </c>
      <c r="F131" s="112">
        <f t="shared" si="82"/>
        <v>56.902341465498083</v>
      </c>
      <c r="G131" s="100">
        <v>51</v>
      </c>
      <c r="H131" s="18">
        <f t="shared" si="92"/>
        <v>58</v>
      </c>
      <c r="I131" s="18">
        <f t="shared" si="93"/>
        <v>59</v>
      </c>
      <c r="J131" s="18">
        <f t="shared" si="94"/>
        <v>60</v>
      </c>
      <c r="K131" s="79">
        <f t="shared" si="88"/>
        <v>5.9023414654980826</v>
      </c>
      <c r="L131" s="33">
        <f t="shared" si="89"/>
        <v>0</v>
      </c>
      <c r="M131" s="98">
        <f t="shared" si="90"/>
        <v>0</v>
      </c>
      <c r="N131" s="66">
        <f t="shared" si="91"/>
        <v>0</v>
      </c>
      <c r="O131" s="99">
        <v>-15</v>
      </c>
      <c r="P131" s="33">
        <f t="shared" si="95"/>
        <v>-71.902341465498083</v>
      </c>
      <c r="Q131" s="97">
        <f t="shared" si="99"/>
        <v>6.453062233137336E-8</v>
      </c>
      <c r="R131" s="34">
        <v>-16</v>
      </c>
      <c r="S131" s="33">
        <f t="shared" si="96"/>
        <v>-72.902341465498083</v>
      </c>
      <c r="T131" s="97">
        <f t="shared" si="86"/>
        <v>5.1258495322138962E-8</v>
      </c>
      <c r="U131" s="34">
        <v>-13</v>
      </c>
      <c r="V131" s="33">
        <f t="shared" si="100"/>
        <v>-69.902341465498083</v>
      </c>
      <c r="W131" s="97">
        <f t="shared" si="97"/>
        <v>1.0227414403827253E-7</v>
      </c>
      <c r="X131" s="34">
        <v>-13</v>
      </c>
      <c r="Y131" s="33">
        <f t="shared" si="98"/>
        <v>-69.902341465498083</v>
      </c>
      <c r="Z131" s="97">
        <f t="shared" si="84"/>
        <v>1.0227414403827253E-7</v>
      </c>
    </row>
    <row r="132" spans="2:26" x14ac:dyDescent="0.2">
      <c r="B132" s="13">
        <v>500</v>
      </c>
      <c r="C132" s="33">
        <f>'3º Alta Frec'!H122</f>
        <v>58.649013090526608</v>
      </c>
      <c r="D132" s="33">
        <f>'3º Alta Frec'!R122</f>
        <v>57.791180114417976</v>
      </c>
      <c r="E132" s="34">
        <f t="shared" si="81"/>
        <v>2</v>
      </c>
      <c r="F132" s="112">
        <f t="shared" si="82"/>
        <v>58.19895069017312</v>
      </c>
      <c r="G132" s="101">
        <v>52</v>
      </c>
      <c r="H132" s="18">
        <f t="shared" si="92"/>
        <v>59</v>
      </c>
      <c r="I132" s="95">
        <f t="shared" si="93"/>
        <v>60</v>
      </c>
      <c r="J132" s="18">
        <f t="shared" si="94"/>
        <v>61</v>
      </c>
      <c r="K132" s="79">
        <f t="shared" si="88"/>
        <v>6.1989506901731204</v>
      </c>
      <c r="L132" s="33">
        <f t="shared" si="89"/>
        <v>0</v>
      </c>
      <c r="M132" s="98">
        <f t="shared" si="90"/>
        <v>0</v>
      </c>
      <c r="N132" s="66">
        <f t="shared" si="91"/>
        <v>0</v>
      </c>
      <c r="O132" s="99">
        <v>-13</v>
      </c>
      <c r="P132" s="33">
        <f t="shared" si="95"/>
        <v>-71.19895069017312</v>
      </c>
      <c r="Q132" s="97">
        <f t="shared" si="99"/>
        <v>7.5876087900944565E-8</v>
      </c>
      <c r="R132" s="34">
        <v>-14</v>
      </c>
      <c r="S132" s="33">
        <f t="shared" si="96"/>
        <v>-72.19895069017312</v>
      </c>
      <c r="T132" s="97">
        <f t="shared" si="86"/>
        <v>6.0270518960141766E-8</v>
      </c>
      <c r="U132" s="34">
        <v>-12</v>
      </c>
      <c r="V132" s="33">
        <f t="shared" si="100"/>
        <v>-70.19895069017312</v>
      </c>
      <c r="W132" s="97">
        <f t="shared" si="97"/>
        <v>9.5522335206026971E-8</v>
      </c>
      <c r="X132" s="34">
        <v>-12</v>
      </c>
      <c r="Y132" s="33">
        <f t="shared" si="98"/>
        <v>-70.19895069017312</v>
      </c>
      <c r="Z132" s="97">
        <f t="shared" si="84"/>
        <v>9.5522335206026971E-8</v>
      </c>
    </row>
    <row r="133" spans="2:26" x14ac:dyDescent="0.2">
      <c r="B133" s="13">
        <v>630</v>
      </c>
      <c r="C133" s="33">
        <f>'3º Alta Frec'!H123</f>
        <v>62.820692577959612</v>
      </c>
      <c r="D133" s="33">
        <f>'3º Alta Frec'!R123</f>
        <v>61.077679312768851</v>
      </c>
      <c r="E133" s="34">
        <f t="shared" si="81"/>
        <v>2</v>
      </c>
      <c r="F133" s="112">
        <f t="shared" si="82"/>
        <v>61.862323188083678</v>
      </c>
      <c r="G133" s="13">
        <v>53</v>
      </c>
      <c r="H133" s="18">
        <f t="shared" si="92"/>
        <v>60</v>
      </c>
      <c r="I133" s="18">
        <f t="shared" si="93"/>
        <v>61</v>
      </c>
      <c r="J133" s="18">
        <f t="shared" si="94"/>
        <v>62</v>
      </c>
      <c r="K133" s="79">
        <f t="shared" si="88"/>
        <v>8.8623231880836784</v>
      </c>
      <c r="L133" s="33">
        <f t="shared" si="89"/>
        <v>1.8623231880836784</v>
      </c>
      <c r="M133" s="98">
        <f t="shared" si="90"/>
        <v>0.86232318808367836</v>
      </c>
      <c r="N133" s="66">
        <f t="shared" si="91"/>
        <v>0</v>
      </c>
      <c r="O133" s="99">
        <v>-12</v>
      </c>
      <c r="P133" s="33">
        <f t="shared" si="95"/>
        <v>-73.862323188083678</v>
      </c>
      <c r="Q133" s="97">
        <f t="shared" si="99"/>
        <v>4.1092984202719744E-8</v>
      </c>
      <c r="R133" s="34">
        <v>-13</v>
      </c>
      <c r="S133" s="33">
        <f t="shared" si="96"/>
        <v>-74.862323188083678</v>
      </c>
      <c r="T133" s="97">
        <f t="shared" si="86"/>
        <v>3.2641317601299186E-8</v>
      </c>
      <c r="U133" s="34">
        <v>-11</v>
      </c>
      <c r="V133" s="33">
        <f t="shared" si="100"/>
        <v>-72.862323188083678</v>
      </c>
      <c r="W133" s="97">
        <f t="shared" si="97"/>
        <v>5.1733002059260104E-8</v>
      </c>
      <c r="X133" s="34">
        <v>-11</v>
      </c>
      <c r="Y133" s="33">
        <f t="shared" si="98"/>
        <v>-72.862323188083678</v>
      </c>
      <c r="Z133" s="97">
        <f t="shared" si="84"/>
        <v>5.1733002059260104E-8</v>
      </c>
    </row>
    <row r="134" spans="2:26" x14ac:dyDescent="0.2">
      <c r="B134" s="13">
        <v>800</v>
      </c>
      <c r="C134" s="33">
        <f>'3º Alta Frec'!H124</f>
        <v>66.75562981057557</v>
      </c>
      <c r="D134" s="33">
        <f>'3º Alta Frec'!R124</f>
        <v>66.275357475001542</v>
      </c>
      <c r="E134" s="34">
        <f t="shared" si="81"/>
        <v>2</v>
      </c>
      <c r="F134" s="112">
        <f t="shared" si="82"/>
        <v>66.508858050874736</v>
      </c>
      <c r="G134" s="13">
        <v>54</v>
      </c>
      <c r="H134" s="18">
        <f t="shared" si="92"/>
        <v>61</v>
      </c>
      <c r="I134" s="18">
        <f t="shared" si="93"/>
        <v>62</v>
      </c>
      <c r="J134" s="18">
        <f t="shared" si="94"/>
        <v>63</v>
      </c>
      <c r="K134" s="79">
        <f t="shared" si="88"/>
        <v>12.508858050874736</v>
      </c>
      <c r="L134" s="33">
        <f t="shared" si="89"/>
        <v>5.5088580508747356</v>
      </c>
      <c r="M134" s="98">
        <f t="shared" si="90"/>
        <v>4.5088580508747356</v>
      </c>
      <c r="N134" s="66">
        <f t="shared" si="91"/>
        <v>3.5088580508747356</v>
      </c>
      <c r="O134" s="99">
        <v>-11</v>
      </c>
      <c r="P134" s="33">
        <f t="shared" si="95"/>
        <v>-77.508858050874736</v>
      </c>
      <c r="Q134" s="97">
        <f t="shared" si="99"/>
        <v>1.7746560538262246E-8</v>
      </c>
      <c r="R134" s="34">
        <v>-12</v>
      </c>
      <c r="S134" s="33">
        <f t="shared" si="96"/>
        <v>-78.508858050874736</v>
      </c>
      <c r="T134" s="97">
        <f t="shared" si="86"/>
        <v>1.4096594104785409E-8</v>
      </c>
      <c r="U134" s="34">
        <v>-9</v>
      </c>
      <c r="V134" s="33">
        <f t="shared" si="100"/>
        <v>-75.508858050874736</v>
      </c>
      <c r="W134" s="97">
        <f t="shared" si="97"/>
        <v>2.8126402986690815E-8</v>
      </c>
      <c r="X134" s="34">
        <v>-9</v>
      </c>
      <c r="Y134" s="33">
        <f t="shared" si="98"/>
        <v>-75.508858050874736</v>
      </c>
      <c r="Z134" s="97">
        <f t="shared" si="84"/>
        <v>2.8126402986690815E-8</v>
      </c>
    </row>
    <row r="135" spans="2:26" x14ac:dyDescent="0.2">
      <c r="B135" s="13">
        <v>1000</v>
      </c>
      <c r="C135" s="33">
        <f>'3º Alta Frec'!H125</f>
        <v>66.462264246143832</v>
      </c>
      <c r="D135" s="33">
        <f>'3º Alta Frec'!R125</f>
        <v>66.099163408775723</v>
      </c>
      <c r="E135" s="34">
        <f t="shared" si="81"/>
        <v>2</v>
      </c>
      <c r="F135" s="112">
        <f t="shared" si="82"/>
        <v>66.276920208105309</v>
      </c>
      <c r="G135" s="13">
        <v>55</v>
      </c>
      <c r="H135" s="18">
        <f t="shared" si="92"/>
        <v>62</v>
      </c>
      <c r="I135" s="18">
        <f t="shared" si="93"/>
        <v>63</v>
      </c>
      <c r="J135" s="18">
        <f t="shared" si="94"/>
        <v>64</v>
      </c>
      <c r="K135" s="79">
        <f t="shared" si="88"/>
        <v>11.276920208105309</v>
      </c>
      <c r="L135" s="33">
        <f t="shared" si="89"/>
        <v>4.2769202081053095</v>
      </c>
      <c r="M135" s="98">
        <f t="shared" si="90"/>
        <v>3.2769202081053095</v>
      </c>
      <c r="N135" s="66">
        <f t="shared" si="91"/>
        <v>2.2769202081053095</v>
      </c>
      <c r="O135" s="99">
        <v>-10</v>
      </c>
      <c r="P135" s="33">
        <f t="shared" si="95"/>
        <v>-76.276920208105309</v>
      </c>
      <c r="Q135" s="97">
        <f t="shared" si="99"/>
        <v>2.356719955376911E-8</v>
      </c>
      <c r="R135" s="34">
        <v>-11</v>
      </c>
      <c r="S135" s="33">
        <f t="shared" si="96"/>
        <v>-77.276920208105309</v>
      </c>
      <c r="T135" s="97">
        <f t="shared" si="86"/>
        <v>1.872009201894031E-8</v>
      </c>
      <c r="U135" s="34">
        <v>-8</v>
      </c>
      <c r="V135" s="33">
        <f t="shared" si="100"/>
        <v>-74.276920208105309</v>
      </c>
      <c r="W135" s="97">
        <f t="shared" si="97"/>
        <v>3.7351494138141313E-8</v>
      </c>
      <c r="X135" s="34">
        <v>-8</v>
      </c>
      <c r="Y135" s="33">
        <f t="shared" si="98"/>
        <v>-74.276920208105309</v>
      </c>
      <c r="Z135" s="97">
        <f t="shared" si="84"/>
        <v>3.7351494138141313E-8</v>
      </c>
    </row>
    <row r="136" spans="2:26" x14ac:dyDescent="0.2">
      <c r="B136" s="13">
        <v>1250</v>
      </c>
      <c r="C136" s="33">
        <f>'3º Alta Frec'!H126</f>
        <v>67.894497075015522</v>
      </c>
      <c r="D136" s="33">
        <f>'3º Alta Frec'!R126</f>
        <v>68.195603057954699</v>
      </c>
      <c r="E136" s="34">
        <f t="shared" si="81"/>
        <v>2</v>
      </c>
      <c r="F136" s="112">
        <f t="shared" si="82"/>
        <v>68.042441045897817</v>
      </c>
      <c r="G136" s="13">
        <v>56</v>
      </c>
      <c r="H136" s="18">
        <f t="shared" si="92"/>
        <v>63</v>
      </c>
      <c r="I136" s="18">
        <f t="shared" si="93"/>
        <v>64</v>
      </c>
      <c r="J136" s="18">
        <f t="shared" si="94"/>
        <v>65</v>
      </c>
      <c r="K136" s="79">
        <f t="shared" si="88"/>
        <v>12.042441045897817</v>
      </c>
      <c r="L136" s="33">
        <f t="shared" si="89"/>
        <v>5.0424410458978173</v>
      </c>
      <c r="M136" s="98">
        <f t="shared" si="90"/>
        <v>4.0424410458978173</v>
      </c>
      <c r="N136" s="66">
        <f t="shared" si="91"/>
        <v>3.0424410458978173</v>
      </c>
      <c r="O136" s="99">
        <v>-9</v>
      </c>
      <c r="P136" s="33">
        <f t="shared" si="95"/>
        <v>-77.042441045897817</v>
      </c>
      <c r="Q136" s="97">
        <f t="shared" si="99"/>
        <v>1.9758587538717682E-8</v>
      </c>
      <c r="R136" s="34">
        <v>-10</v>
      </c>
      <c r="S136" s="33">
        <f t="shared" si="96"/>
        <v>-78.042441045897817</v>
      </c>
      <c r="T136" s="97">
        <f t="shared" si="86"/>
        <v>1.569480396027476E-8</v>
      </c>
      <c r="U136" s="34">
        <v>-9</v>
      </c>
      <c r="V136" s="33">
        <f t="shared" si="100"/>
        <v>-77.042441045897817</v>
      </c>
      <c r="W136" s="97">
        <f t="shared" si="97"/>
        <v>1.9758587538717682E-8</v>
      </c>
      <c r="X136" s="34">
        <v>-9</v>
      </c>
      <c r="Y136" s="33">
        <f t="shared" si="98"/>
        <v>-77.042441045897817</v>
      </c>
      <c r="Z136" s="97">
        <f t="shared" si="84"/>
        <v>1.9758587538717682E-8</v>
      </c>
    </row>
    <row r="137" spans="2:26" x14ac:dyDescent="0.2">
      <c r="B137" s="13">
        <v>1600</v>
      </c>
      <c r="C137" s="33">
        <f>'3º Alta Frec'!H127</f>
        <v>68.291180058285605</v>
      </c>
      <c r="D137" s="33">
        <f>'3º Alta Frec'!R127</f>
        <v>67.126560558823655</v>
      </c>
      <c r="E137" s="34">
        <f t="shared" si="81"/>
        <v>2</v>
      </c>
      <c r="F137" s="112">
        <f t="shared" si="82"/>
        <v>67.669948160461331</v>
      </c>
      <c r="G137" s="13">
        <v>56</v>
      </c>
      <c r="H137" s="18">
        <f t="shared" si="92"/>
        <v>63</v>
      </c>
      <c r="I137" s="18">
        <f t="shared" si="93"/>
        <v>64</v>
      </c>
      <c r="J137" s="18">
        <f t="shared" si="94"/>
        <v>65</v>
      </c>
      <c r="K137" s="79">
        <f t="shared" si="88"/>
        <v>11.669948160461331</v>
      </c>
      <c r="L137" s="33">
        <f t="shared" si="89"/>
        <v>4.6699481604613311</v>
      </c>
      <c r="M137" s="98">
        <f t="shared" si="90"/>
        <v>3.6699481604613311</v>
      </c>
      <c r="N137" s="66">
        <f t="shared" si="91"/>
        <v>2.6699481604613311</v>
      </c>
      <c r="O137" s="99">
        <v>-9</v>
      </c>
      <c r="P137" s="33">
        <f t="shared" si="95"/>
        <v>-76.669948160461331</v>
      </c>
      <c r="Q137" s="97">
        <f t="shared" si="99"/>
        <v>2.1528074315459289E-8</v>
      </c>
      <c r="R137" s="34">
        <v>-10</v>
      </c>
      <c r="S137" s="33">
        <f t="shared" si="96"/>
        <v>-77.669948160461331</v>
      </c>
      <c r="T137" s="97">
        <f t="shared" si="86"/>
        <v>1.7100357268011878E-8</v>
      </c>
      <c r="U137" s="34">
        <v>-10</v>
      </c>
      <c r="V137" s="33">
        <f t="shared" si="100"/>
        <v>-77.669948160461331</v>
      </c>
      <c r="W137" s="97">
        <f t="shared" si="97"/>
        <v>1.7100357268011878E-8</v>
      </c>
      <c r="X137" s="34">
        <v>-10</v>
      </c>
      <c r="Y137" s="33">
        <f t="shared" si="98"/>
        <v>-77.669948160461331</v>
      </c>
      <c r="Z137" s="97">
        <f t="shared" si="84"/>
        <v>1.7100357268011878E-8</v>
      </c>
    </row>
    <row r="138" spans="2:26" x14ac:dyDescent="0.2">
      <c r="B138" s="13">
        <v>2000</v>
      </c>
      <c r="C138" s="33">
        <f>'3º Alta Frec'!H128</f>
        <v>68.909622021899125</v>
      </c>
      <c r="D138" s="33">
        <f>'3º Alta Frec'!R128</f>
        <v>67.202588464044396</v>
      </c>
      <c r="E138" s="34">
        <f t="shared" si="81"/>
        <v>2</v>
      </c>
      <c r="F138" s="112">
        <f t="shared" si="82"/>
        <v>67.972769034075327</v>
      </c>
      <c r="G138" s="13">
        <v>56</v>
      </c>
      <c r="H138" s="18">
        <f t="shared" si="92"/>
        <v>63</v>
      </c>
      <c r="I138" s="18">
        <f t="shared" si="93"/>
        <v>64</v>
      </c>
      <c r="J138" s="18">
        <f t="shared" si="94"/>
        <v>65</v>
      </c>
      <c r="K138" s="79">
        <f t="shared" si="88"/>
        <v>11.972769034075327</v>
      </c>
      <c r="L138" s="33">
        <f t="shared" si="89"/>
        <v>4.972769034075327</v>
      </c>
      <c r="M138" s="98">
        <f t="shared" si="90"/>
        <v>3.972769034075327</v>
      </c>
      <c r="N138" s="66">
        <f t="shared" si="91"/>
        <v>2.972769034075327</v>
      </c>
      <c r="O138" s="99">
        <v>-9</v>
      </c>
      <c r="P138" s="33">
        <f t="shared" si="95"/>
        <v>-76.972769034075327</v>
      </c>
      <c r="Q138" s="97">
        <f t="shared" si="99"/>
        <v>2.0078122360594282E-8</v>
      </c>
      <c r="R138" s="34">
        <v>-10</v>
      </c>
      <c r="S138" s="33">
        <f t="shared" si="96"/>
        <v>-77.972769034075327</v>
      </c>
      <c r="T138" s="97">
        <f t="shared" si="86"/>
        <v>1.5948619491268939E-8</v>
      </c>
      <c r="U138" s="34">
        <v>-11</v>
      </c>
      <c r="V138" s="33">
        <f t="shared" si="100"/>
        <v>-78.972769034075327</v>
      </c>
      <c r="W138" s="97">
        <f t="shared" si="97"/>
        <v>1.2668438766788936E-8</v>
      </c>
      <c r="X138" s="34">
        <v>-11</v>
      </c>
      <c r="Y138" s="33">
        <f t="shared" si="98"/>
        <v>-78.972769034075327</v>
      </c>
      <c r="Z138" s="97">
        <f t="shared" si="84"/>
        <v>1.2668438766788936E-8</v>
      </c>
    </row>
    <row r="139" spans="2:26" x14ac:dyDescent="0.2">
      <c r="B139" s="13">
        <v>2500</v>
      </c>
      <c r="C139" s="33">
        <f>'3º Alta Frec'!H129</f>
        <v>67.298750667892008</v>
      </c>
      <c r="D139" s="33">
        <f>'3º Alta Frec'!R129</f>
        <v>67.349558827908822</v>
      </c>
      <c r="E139" s="34">
        <f t="shared" si="81"/>
        <v>2</v>
      </c>
      <c r="F139" s="112">
        <f t="shared" si="82"/>
        <v>67.324080447670099</v>
      </c>
      <c r="G139" s="13">
        <v>56</v>
      </c>
      <c r="H139" s="18">
        <f t="shared" si="92"/>
        <v>63</v>
      </c>
      <c r="I139" s="18">
        <f t="shared" si="93"/>
        <v>64</v>
      </c>
      <c r="J139" s="18">
        <f t="shared" si="94"/>
        <v>65</v>
      </c>
      <c r="K139" s="79">
        <f t="shared" si="88"/>
        <v>11.324080447670099</v>
      </c>
      <c r="L139" s="33">
        <f t="shared" si="89"/>
        <v>4.3240804476700987</v>
      </c>
      <c r="M139" s="98">
        <f t="shared" si="90"/>
        <v>3.3240804476700987</v>
      </c>
      <c r="N139" s="66">
        <f t="shared" si="91"/>
        <v>2.3240804476700987</v>
      </c>
      <c r="O139" s="99">
        <v>-9</v>
      </c>
      <c r="P139" s="33">
        <f t="shared" si="95"/>
        <v>-76.324080447670099</v>
      </c>
      <c r="Q139" s="97">
        <f t="shared" si="99"/>
        <v>2.3312666731923262E-8</v>
      </c>
      <c r="R139" s="34">
        <v>-10</v>
      </c>
      <c r="S139" s="33">
        <f t="shared" si="96"/>
        <v>-77.324080447670099</v>
      </c>
      <c r="T139" s="97">
        <f t="shared" si="86"/>
        <v>1.8517909411884043E-8</v>
      </c>
      <c r="U139" s="34">
        <v>-13</v>
      </c>
      <c r="V139" s="33">
        <f t="shared" si="100"/>
        <v>-80.324080447670099</v>
      </c>
      <c r="W139" s="97">
        <f t="shared" si="97"/>
        <v>9.2809397907026185E-9</v>
      </c>
      <c r="X139" s="34">
        <v>-13</v>
      </c>
      <c r="Y139" s="33">
        <f t="shared" si="98"/>
        <v>-80.324080447670099</v>
      </c>
      <c r="Z139" s="97">
        <f t="shared" si="84"/>
        <v>9.2809397907026185E-9</v>
      </c>
    </row>
    <row r="140" spans="2:26" x14ac:dyDescent="0.2">
      <c r="B140" s="13">
        <v>3150</v>
      </c>
      <c r="C140" s="33">
        <f>'3º Alta Frec'!H130</f>
        <v>63.090568777408997</v>
      </c>
      <c r="D140" s="33">
        <f>'3º Alta Frec'!R130</f>
        <v>63.4559343813388</v>
      </c>
      <c r="E140" s="34">
        <f t="shared" si="81"/>
        <v>2</v>
      </c>
      <c r="F140" s="112">
        <f t="shared" si="82"/>
        <v>63.269410502587277</v>
      </c>
      <c r="G140" s="13">
        <v>56</v>
      </c>
      <c r="H140" s="18">
        <f t="shared" si="92"/>
        <v>63</v>
      </c>
      <c r="I140" s="18">
        <f t="shared" si="93"/>
        <v>64</v>
      </c>
      <c r="J140" s="18">
        <f t="shared" si="94"/>
        <v>65</v>
      </c>
      <c r="K140" s="79">
        <f t="shared" si="88"/>
        <v>7.2694105025872773</v>
      </c>
      <c r="L140" s="33">
        <f t="shared" si="89"/>
        <v>0.26941050258727728</v>
      </c>
      <c r="M140" s="98">
        <f t="shared" si="90"/>
        <v>0</v>
      </c>
      <c r="N140" s="66">
        <f t="shared" si="91"/>
        <v>0</v>
      </c>
      <c r="O140" s="99">
        <v>-9</v>
      </c>
      <c r="P140" s="33">
        <f t="shared" si="95"/>
        <v>-72.269410502587277</v>
      </c>
      <c r="Q140" s="97">
        <f t="shared" si="99"/>
        <v>5.9300581182593938E-8</v>
      </c>
      <c r="R140" s="34">
        <v>-10</v>
      </c>
      <c r="S140" s="33">
        <f t="shared" si="96"/>
        <v>-73.269410502587277</v>
      </c>
      <c r="T140" s="97">
        <f t="shared" si="86"/>
        <v>4.7104125968893837E-8</v>
      </c>
      <c r="U140" s="34">
        <v>-15</v>
      </c>
      <c r="V140" s="33">
        <f t="shared" si="100"/>
        <v>-78.269410502587277</v>
      </c>
      <c r="W140" s="97">
        <f t="shared" si="97"/>
        <v>1.4895632525318985E-8</v>
      </c>
      <c r="X140" s="34">
        <v>-15</v>
      </c>
      <c r="Y140" s="33">
        <f t="shared" si="98"/>
        <v>-78.269410502587277</v>
      </c>
      <c r="Z140" s="97">
        <f t="shared" si="84"/>
        <v>1.4895632525318985E-8</v>
      </c>
    </row>
    <row r="141" spans="2:26" x14ac:dyDescent="0.2">
      <c r="B141" s="13">
        <v>4000</v>
      </c>
      <c r="C141" s="33">
        <f>'3º Alta Frec'!H131</f>
        <v>63.189269055177903</v>
      </c>
      <c r="D141" s="33">
        <f>'3º Alta Frec'!R131</f>
        <v>63.161969532113304</v>
      </c>
      <c r="E141" s="34">
        <f t="shared" si="81"/>
        <v>2</v>
      </c>
      <c r="F141" s="112">
        <f t="shared" si="82"/>
        <v>63.175597843259872</v>
      </c>
      <c r="G141" s="13"/>
      <c r="H141" s="18"/>
      <c r="I141" s="18"/>
      <c r="J141" s="18"/>
      <c r="K141" s="13"/>
      <c r="L141" s="18"/>
      <c r="M141" s="95"/>
      <c r="N141" s="96"/>
      <c r="O141" s="99"/>
      <c r="P141" s="18"/>
      <c r="Q141" s="97"/>
      <c r="R141" s="34">
        <v>-10</v>
      </c>
      <c r="S141" s="33">
        <f t="shared" si="96"/>
        <v>-73.175597843259879</v>
      </c>
      <c r="T141" s="97">
        <f t="shared" si="86"/>
        <v>4.8132699068889797E-8</v>
      </c>
      <c r="U141" s="18"/>
      <c r="V141" s="18"/>
      <c r="W141" s="97"/>
      <c r="X141" s="34">
        <v>-16</v>
      </c>
      <c r="Y141" s="33">
        <f t="shared" si="98"/>
        <v>-79.175597843259879</v>
      </c>
      <c r="Z141" s="97">
        <f t="shared" si="84"/>
        <v>1.2090387370307835E-8</v>
      </c>
    </row>
    <row r="142" spans="2:26" x14ac:dyDescent="0.2">
      <c r="B142" s="15">
        <v>5000</v>
      </c>
      <c r="C142" s="23">
        <f>'3º Alta Frec'!H132</f>
        <v>63.141084471385255</v>
      </c>
      <c r="D142" s="23">
        <f>'3º Alta Frec'!R132</f>
        <v>61.798846140234417</v>
      </c>
      <c r="E142" s="24">
        <f t="shared" si="81"/>
        <v>2</v>
      </c>
      <c r="F142" s="113">
        <f t="shared" si="82"/>
        <v>62.418316055654046</v>
      </c>
      <c r="G142" s="15"/>
      <c r="H142" s="16"/>
      <c r="I142" s="16"/>
      <c r="J142" s="16"/>
      <c r="K142" s="13"/>
      <c r="L142" s="18"/>
      <c r="M142" s="95"/>
      <c r="N142" s="96"/>
      <c r="O142" s="13"/>
      <c r="P142" s="18"/>
      <c r="Q142" s="97"/>
      <c r="R142" s="34">
        <v>-10</v>
      </c>
      <c r="S142" s="33">
        <f t="shared" si="96"/>
        <v>-72.418316055654046</v>
      </c>
      <c r="T142" s="97">
        <f t="shared" si="86"/>
        <v>5.730181714232384E-8</v>
      </c>
      <c r="U142" s="18"/>
      <c r="V142" s="18"/>
      <c r="W142" s="97"/>
      <c r="X142" s="34">
        <v>-18</v>
      </c>
      <c r="Y142" s="33">
        <f t="shared" si="98"/>
        <v>-80.418316055654046</v>
      </c>
      <c r="Z142" s="97">
        <f t="shared" si="84"/>
        <v>9.0817259904520628E-9</v>
      </c>
    </row>
    <row r="143" spans="2:26" x14ac:dyDescent="0.2">
      <c r="K143" s="80">
        <f>SUM(K125:K140)</f>
        <v>145.24792919698052</v>
      </c>
      <c r="L143" s="141">
        <f t="shared" ref="L143:N143" si="101">SUM(L125:L140)</f>
        <v>40.099295388251278</v>
      </c>
      <c r="M143" s="102">
        <f t="shared" si="101"/>
        <v>29.829884885664001</v>
      </c>
      <c r="N143" s="68">
        <f t="shared" si="101"/>
        <v>19.967561697580322</v>
      </c>
      <c r="O143" s="79" t="s">
        <v>133</v>
      </c>
      <c r="P143" s="33">
        <v>60</v>
      </c>
      <c r="Q143" s="103">
        <f>-10*LOG10(SUM(Q122:Q142))</f>
        <v>59.984588224418616</v>
      </c>
      <c r="R143" s="34"/>
      <c r="S143" s="33"/>
      <c r="T143" s="103">
        <f>-10*LOG10(SUM(T122:T142))</f>
        <v>60.290710666430726</v>
      </c>
      <c r="U143" s="33"/>
      <c r="V143" s="33"/>
      <c r="W143" s="103">
        <f>-10*LOG10(SUM(W122:W142))</f>
        <v>54.607888801766748</v>
      </c>
      <c r="X143" s="34"/>
      <c r="Y143" s="33"/>
      <c r="Z143" s="103">
        <f>-10*LOG10(SUM(Z122:Z142))</f>
        <v>53.618818687746888</v>
      </c>
    </row>
    <row r="144" spans="2:26" x14ac:dyDescent="0.2">
      <c r="O144" s="15"/>
      <c r="P144" s="16"/>
      <c r="Q144" s="114">
        <f>ROUND(Q143,0)-P143</f>
        <v>0</v>
      </c>
      <c r="R144" s="16"/>
      <c r="S144" s="16"/>
      <c r="T144" s="114">
        <f>ROUND(T143,0)-P143</f>
        <v>0</v>
      </c>
      <c r="U144" s="16"/>
      <c r="V144" s="16"/>
      <c r="W144" s="114">
        <f>ROUND(W143,0)-P143</f>
        <v>-5</v>
      </c>
      <c r="X144" s="16"/>
      <c r="Y144" s="16"/>
      <c r="Z144" s="114">
        <f>ROUND(Z143,0)-P143</f>
        <v>-6</v>
      </c>
    </row>
    <row r="145" spans="7:7" x14ac:dyDescent="0.2">
      <c r="G145" s="2" t="s">
        <v>91</v>
      </c>
    </row>
  </sheetData>
  <mergeCells count="40">
    <mergeCell ref="F2:Z2"/>
    <mergeCell ref="F3:F4"/>
    <mergeCell ref="F32:F33"/>
    <mergeCell ref="F31:Z31"/>
    <mergeCell ref="F61:F62"/>
    <mergeCell ref="F60:Z60"/>
    <mergeCell ref="X3:Z3"/>
    <mergeCell ref="U32:W32"/>
    <mergeCell ref="X32:Z32"/>
    <mergeCell ref="U3:W3"/>
    <mergeCell ref="O3:Q3"/>
    <mergeCell ref="R3:T3"/>
    <mergeCell ref="G3:J3"/>
    <mergeCell ref="K3:N3"/>
    <mergeCell ref="O32:Q32"/>
    <mergeCell ref="R32:T32"/>
    <mergeCell ref="O120:Q120"/>
    <mergeCell ref="G61:J61"/>
    <mergeCell ref="K61:N61"/>
    <mergeCell ref="G90:J90"/>
    <mergeCell ref="K90:N90"/>
    <mergeCell ref="F119:Z119"/>
    <mergeCell ref="G120:J120"/>
    <mergeCell ref="K120:N120"/>
    <mergeCell ref="G32:J32"/>
    <mergeCell ref="K32:N32"/>
    <mergeCell ref="R120:T120"/>
    <mergeCell ref="U120:W120"/>
    <mergeCell ref="X120:Z120"/>
    <mergeCell ref="O61:Q61"/>
    <mergeCell ref="R61:T61"/>
    <mergeCell ref="U61:W61"/>
    <mergeCell ref="X61:Z61"/>
    <mergeCell ref="O90:Q90"/>
    <mergeCell ref="R90:T90"/>
    <mergeCell ref="U90:W90"/>
    <mergeCell ref="X90:Z90"/>
    <mergeCell ref="F89:Z89"/>
    <mergeCell ref="F90:F91"/>
    <mergeCell ref="F120:F121"/>
  </mergeCells>
  <conditionalFormatting sqref="H24">
    <cfRule type="cellIs" dxfId="11" priority="4" operator="lessThan">
      <formula>0</formula>
    </cfRule>
  </conditionalFormatting>
  <conditionalFormatting sqref="H82">
    <cfRule type="cellIs" dxfId="10" priority="3" operator="lessThan">
      <formula>0</formula>
    </cfRule>
  </conditionalFormatting>
  <conditionalFormatting sqref="H111">
    <cfRule type="cellIs" dxfId="9" priority="2" operator="lessThan">
      <formula>0</formula>
    </cfRule>
  </conditionalFormatting>
  <conditionalFormatting sqref="H141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Guía MediaAlta Frec</vt:lpstr>
      <vt:lpstr>Datos</vt:lpstr>
      <vt:lpstr>1º Alta Frec</vt:lpstr>
      <vt:lpstr>2º Alta Frec</vt:lpstr>
      <vt:lpstr>3º Alta Frec</vt:lpstr>
      <vt:lpstr>4º Alta frec (R')</vt:lpstr>
      <vt:lpstr>4º Alta frec (Dnt)</vt:lpstr>
      <vt:lpstr>5º Alta Frec (R')</vt:lpstr>
      <vt:lpstr>5º Alta Frec (Dnt)</vt:lpstr>
      <vt:lpstr>Guía Baja Frec</vt:lpstr>
      <vt:lpstr>1º Baja Frec</vt:lpstr>
      <vt:lpstr>2º Baja Frec</vt:lpstr>
      <vt:lpstr>3º Baja Frec</vt:lpstr>
      <vt:lpstr>4º Baja Frec dnt</vt:lpstr>
      <vt:lpstr>4º Baja Frec R</vt:lpstr>
      <vt:lpstr>5º Baja Frec (Dnt)</vt:lpstr>
      <vt:lpstr>5º Baja Frec (R')</vt:lpstr>
      <vt:lpstr>Resultados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2022-05-15T19:01:52Z</dcterms:created>
  <dcterms:modified xsi:type="dcterms:W3CDTF">2022-06-26T11:19:30Z</dcterms:modified>
</cp:coreProperties>
</file>