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1733bdb82f2e277/Documents/COIN Project/Greenlight - Raquel Kuperus/"/>
    </mc:Choice>
  </mc:AlternateContent>
  <xr:revisionPtr revIDLastSave="5724" documentId="11_F25DC773A252ABDACC1048E5B9D9492C5ADE58ED" xr6:coauthVersionLast="47" xr6:coauthVersionMax="47" xr10:uidLastSave="{7F009793-3F47-45BE-953B-D59B928BD196}"/>
  <bookViews>
    <workbookView xWindow="-108" yWindow="-108" windowWidth="23256" windowHeight="12576" xr2:uid="{00000000-000D-0000-FFFF-FFFF00000000}"/>
  </bookViews>
  <sheets>
    <sheet name="Material Stocks and Flows 2019" sheetId="2" r:id="rId1"/>
    <sheet name="Material Origin" sheetId="3" r:id="rId2"/>
    <sheet name="Waste Treatment" sheetId="6" r:id="rId3"/>
    <sheet name="Impact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C15" i="9"/>
  <c r="D15" i="9"/>
  <c r="E15" i="9"/>
  <c r="F15" i="9"/>
  <c r="G15" i="9"/>
  <c r="H15" i="9"/>
  <c r="I15" i="9"/>
  <c r="J15" i="9"/>
  <c r="K15" i="9"/>
  <c r="L15" i="9"/>
  <c r="M15" i="9"/>
  <c r="N15" i="9"/>
  <c r="C14" i="9"/>
  <c r="D14" i="9"/>
  <c r="E14" i="9"/>
  <c r="F14" i="9"/>
  <c r="G14" i="9"/>
  <c r="H14" i="9"/>
  <c r="I14" i="9"/>
  <c r="J14" i="9"/>
  <c r="K14" i="9"/>
  <c r="L14" i="9"/>
  <c r="M14" i="9"/>
  <c r="N14" i="9"/>
  <c r="B14" i="9"/>
  <c r="F5" i="9" l="1"/>
  <c r="F4" i="9"/>
  <c r="M5" i="9"/>
  <c r="M4" i="9"/>
  <c r="I6" i="9"/>
  <c r="C12" i="9" l="1"/>
  <c r="D12" i="9"/>
  <c r="F12" i="9"/>
  <c r="G12" i="9"/>
  <c r="H12" i="9"/>
  <c r="I12" i="9"/>
  <c r="J12" i="9"/>
  <c r="K12" i="9"/>
  <c r="L12" i="9"/>
  <c r="M12" i="9"/>
  <c r="B12" i="9"/>
  <c r="N11" i="9"/>
  <c r="E11" i="9"/>
  <c r="C11" i="9"/>
  <c r="D11" i="9"/>
  <c r="F11" i="9"/>
  <c r="G11" i="9"/>
  <c r="H11" i="9"/>
  <c r="I11" i="9"/>
  <c r="J11" i="9"/>
  <c r="K11" i="9"/>
  <c r="L11" i="9"/>
  <c r="M11" i="9"/>
  <c r="B11" i="9"/>
  <c r="C16" i="9" l="1"/>
  <c r="M16" i="9"/>
  <c r="K16" i="9"/>
  <c r="E16" i="9"/>
  <c r="F16" i="9"/>
  <c r="J16" i="9"/>
  <c r="N16" i="9"/>
  <c r="D16" i="9"/>
  <c r="B16" i="9"/>
  <c r="H16" i="9"/>
  <c r="L16" i="9"/>
  <c r="I16" i="9"/>
  <c r="G16" i="9"/>
  <c r="N72" i="6" l="1"/>
  <c r="M72" i="6"/>
  <c r="L72" i="6"/>
  <c r="K72" i="6"/>
  <c r="J72" i="6"/>
  <c r="I72" i="6"/>
  <c r="H72" i="6"/>
  <c r="G72" i="6"/>
  <c r="F72" i="6"/>
  <c r="E72" i="6"/>
  <c r="D72" i="6"/>
  <c r="C72" i="6"/>
  <c r="B72" i="6"/>
  <c r="D143" i="2"/>
  <c r="E143" i="2"/>
  <c r="F143" i="2"/>
  <c r="G143" i="2"/>
  <c r="H143" i="2"/>
  <c r="I143" i="2"/>
  <c r="J143" i="2"/>
  <c r="K143" i="2"/>
  <c r="L143" i="2"/>
  <c r="M143" i="2"/>
  <c r="N143" i="2"/>
  <c r="O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C144" i="2"/>
  <c r="C143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C142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C140" i="2"/>
  <c r="P139" i="2"/>
  <c r="P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C141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C139" i="2"/>
  <c r="B121" i="2"/>
  <c r="B120" i="2"/>
  <c r="P118" i="2"/>
  <c r="D124" i="2" s="1"/>
  <c r="O118" i="2"/>
  <c r="O117" i="2"/>
  <c r="P117" i="2"/>
  <c r="G123" i="2" s="1"/>
  <c r="F118" i="2"/>
  <c r="F117" i="2"/>
  <c r="J118" i="2"/>
  <c r="J117" i="2"/>
  <c r="N118" i="2"/>
  <c r="N117" i="2"/>
  <c r="M118" i="2"/>
  <c r="M117" i="2"/>
  <c r="L118" i="2"/>
  <c r="L117" i="2"/>
  <c r="K118" i="2"/>
  <c r="K117" i="2"/>
  <c r="I118" i="2"/>
  <c r="I117" i="2"/>
  <c r="H118" i="2"/>
  <c r="H117" i="2"/>
  <c r="G118" i="2"/>
  <c r="G117" i="2"/>
  <c r="D118" i="2"/>
  <c r="D117" i="2"/>
  <c r="C118" i="2"/>
  <c r="C117" i="2"/>
  <c r="M124" i="3"/>
  <c r="L124" i="3"/>
  <c r="K124" i="3"/>
  <c r="J124" i="3"/>
  <c r="I124" i="3"/>
  <c r="H124" i="3"/>
  <c r="G124" i="3"/>
  <c r="F124" i="3"/>
  <c r="D124" i="3"/>
  <c r="C124" i="3"/>
  <c r="B124" i="3"/>
  <c r="B31" i="3"/>
  <c r="B30" i="3"/>
  <c r="B29" i="3"/>
  <c r="E12" i="3"/>
  <c r="D12" i="3" s="1"/>
  <c r="I127" i="3" s="1"/>
  <c r="P140" i="2" l="1"/>
  <c r="K124" i="2"/>
  <c r="L123" i="2"/>
  <c r="D123" i="2"/>
  <c r="I124" i="2"/>
  <c r="F123" i="2"/>
  <c r="E123" i="2"/>
  <c r="J124" i="2"/>
  <c r="N123" i="2"/>
  <c r="M123" i="2"/>
  <c r="J123" i="2"/>
  <c r="G124" i="2"/>
  <c r="I123" i="2"/>
  <c r="N124" i="2"/>
  <c r="F124" i="2"/>
  <c r="K123" i="2"/>
  <c r="C124" i="2"/>
  <c r="H124" i="2"/>
  <c r="O124" i="2"/>
  <c r="C123" i="2"/>
  <c r="H123" i="2"/>
  <c r="M124" i="2"/>
  <c r="E124" i="2"/>
  <c r="O123" i="2"/>
  <c r="L124" i="2"/>
  <c r="I130" i="3"/>
  <c r="P124" i="2" l="1"/>
  <c r="P123" i="2"/>
  <c r="G11" i="3"/>
  <c r="G5" i="3"/>
  <c r="B64" i="6" l="1" a="1"/>
  <c r="B64" i="6" s="1"/>
  <c r="C64" i="6" a="1"/>
  <c r="C64" i="6" s="1"/>
  <c r="D64" i="6" a="1"/>
  <c r="D64" i="6" s="1"/>
  <c r="F64" i="6" a="1"/>
  <c r="F64" i="6" s="1"/>
  <c r="G64" i="6" a="1"/>
  <c r="G64" i="6" s="1"/>
  <c r="H64" i="6" a="1"/>
  <c r="H64" i="6" s="1"/>
  <c r="J64" i="6" a="1"/>
  <c r="J64" i="6" s="1"/>
  <c r="K64" i="6" a="1"/>
  <c r="K64" i="6" s="1"/>
  <c r="L64" i="6" a="1"/>
  <c r="L64" i="6" s="1"/>
  <c r="M64" i="6" a="1"/>
  <c r="M64" i="6" s="1"/>
  <c r="N64" i="6" a="1"/>
  <c r="N64" i="6" s="1"/>
  <c r="C58" i="6"/>
  <c r="C59" i="6"/>
  <c r="C57" i="6"/>
  <c r="B7" i="3"/>
  <c r="D127" i="3" s="1"/>
  <c r="B6" i="3"/>
  <c r="C127" i="3" s="1"/>
  <c r="B5" i="3"/>
  <c r="B127" i="3" s="1"/>
  <c r="G34" i="6"/>
  <c r="H34" i="6"/>
  <c r="F34" i="6"/>
  <c r="K127" i="3"/>
  <c r="E5" i="3"/>
  <c r="B15" i="3"/>
  <c r="L127" i="3" s="1"/>
  <c r="B13" i="3"/>
  <c r="J127" i="3" s="1"/>
  <c r="B11" i="3"/>
  <c r="H127" i="3" s="1"/>
  <c r="B9" i="3"/>
  <c r="F127" i="3" s="1"/>
  <c r="N67" i="6" l="1"/>
  <c r="I64" i="6" a="1"/>
  <c r="I64" i="6" s="1"/>
  <c r="I67" i="6" s="1"/>
  <c r="E64" i="6" a="1"/>
  <c r="E64" i="6" s="1"/>
  <c r="E67" i="6" s="1"/>
  <c r="E15" i="3" l="1"/>
  <c r="E14" i="3"/>
  <c r="E13" i="3"/>
  <c r="E11" i="3"/>
  <c r="E10" i="3"/>
  <c r="E9" i="3"/>
  <c r="E7" i="3"/>
  <c r="E6" i="3"/>
  <c r="C9" i="3"/>
  <c r="F130" i="3" s="1"/>
  <c r="D10" i="3" l="1"/>
  <c r="G127" i="3" s="1"/>
  <c r="G130" i="3"/>
  <c r="F32" i="6"/>
  <c r="G32" i="6"/>
  <c r="H32" i="6"/>
  <c r="F33" i="6"/>
  <c r="G33" i="6"/>
  <c r="H33" i="6"/>
  <c r="F31" i="6"/>
  <c r="G31" i="6"/>
  <c r="H31" i="6"/>
  <c r="G30" i="6"/>
  <c r="H30" i="6"/>
  <c r="F30" i="6"/>
  <c r="G24" i="6"/>
  <c r="S92" i="2"/>
  <c r="E5" i="6" l="1"/>
  <c r="E10" i="6"/>
  <c r="C24" i="6"/>
  <c r="D24" i="6"/>
  <c r="E24" i="6"/>
  <c r="F24" i="6"/>
  <c r="B24" i="6"/>
  <c r="S93" i="2"/>
  <c r="G10" i="3" l="1"/>
  <c r="E15" i="6"/>
  <c r="F11" i="3"/>
  <c r="D16" i="6"/>
  <c r="E9" i="6"/>
  <c r="D15" i="3"/>
  <c r="D13" i="3"/>
  <c r="D9" i="3"/>
  <c r="D7" i="3"/>
  <c r="D6" i="3"/>
  <c r="D14" i="3" l="1"/>
  <c r="D11" i="3"/>
  <c r="D5" i="3"/>
  <c r="F5" i="3"/>
  <c r="C6" i="3" l="1"/>
  <c r="C130" i="3" s="1"/>
  <c r="C7" i="3"/>
  <c r="D130" i="3" s="1"/>
  <c r="C11" i="3"/>
  <c r="H130" i="3" s="1"/>
  <c r="C13" i="3"/>
  <c r="J130" i="3" s="1"/>
  <c r="C14" i="3"/>
  <c r="K130" i="3" s="1"/>
  <c r="C15" i="3"/>
  <c r="L130" i="3" s="1"/>
  <c r="C5" i="3"/>
  <c r="B130" i="3" s="1"/>
  <c r="B35" i="3"/>
  <c r="B34" i="3"/>
  <c r="B32" i="3"/>
  <c r="B27" i="3"/>
  <c r="B26" i="3"/>
  <c r="B24" i="3"/>
  <c r="B23" i="3"/>
  <c r="B22" i="3"/>
  <c r="D75" i="2" l="1"/>
  <c r="E75" i="2" s="1"/>
  <c r="D74" i="2"/>
  <c r="E74" i="2" s="1"/>
  <c r="D73" i="2"/>
  <c r="E73" i="2" s="1"/>
  <c r="D72" i="2"/>
  <c r="E72" i="2" s="1"/>
  <c r="D71" i="2"/>
  <c r="E71" i="2" s="1"/>
  <c r="D70" i="2"/>
  <c r="E70" i="2" s="1"/>
  <c r="D69" i="2"/>
  <c r="E69" i="2" s="1"/>
  <c r="D68" i="2"/>
  <c r="E68" i="2" s="1"/>
  <c r="D67" i="2"/>
  <c r="E67" i="2" s="1"/>
  <c r="D66" i="2"/>
  <c r="E66" i="2" s="1"/>
  <c r="D65" i="2"/>
  <c r="E65" i="2" s="1"/>
  <c r="D64" i="2"/>
  <c r="E64" i="2" s="1"/>
  <c r="P34" i="2"/>
  <c r="C39" i="2" l="1"/>
  <c r="D39" i="2"/>
  <c r="E39" i="2"/>
  <c r="F40" i="2"/>
  <c r="H54" i="2" s="1"/>
  <c r="H133" i="2" s="1"/>
  <c r="F41" i="2"/>
  <c r="D58" i="2" s="1"/>
  <c r="D136" i="2" s="1"/>
  <c r="H92" i="2"/>
  <c r="F39" i="2" l="1"/>
  <c r="C50" i="2" s="1"/>
  <c r="C130" i="2" s="1"/>
  <c r="E91" i="2"/>
  <c r="E109" i="2" s="1"/>
  <c r="J90" i="2"/>
  <c r="J108" i="2" s="1"/>
  <c r="H90" i="2"/>
  <c r="H108" i="2" s="1"/>
  <c r="O90" i="2"/>
  <c r="O108" i="2" s="1"/>
  <c r="G90" i="2"/>
  <c r="G108" i="2" s="1"/>
  <c r="G89" i="2"/>
  <c r="D89" i="2"/>
  <c r="E89" i="2"/>
  <c r="M89" i="2"/>
  <c r="C89" i="2"/>
  <c r="K89" i="2"/>
  <c r="L89" i="2"/>
  <c r="D88" i="2"/>
  <c r="L88" i="2"/>
  <c r="F88" i="2"/>
  <c r="O88" i="2"/>
  <c r="H88" i="2"/>
  <c r="H106" i="2" s="1"/>
  <c r="J88" i="2"/>
  <c r="E88" i="2"/>
  <c r="M88" i="2"/>
  <c r="N88" i="2"/>
  <c r="G88" i="2"/>
  <c r="I88" i="2"/>
  <c r="C88" i="2"/>
  <c r="K88" i="2"/>
  <c r="E81" i="2"/>
  <c r="E99" i="2" s="1"/>
  <c r="M81" i="2"/>
  <c r="M99" i="2" s="1"/>
  <c r="H81" i="2"/>
  <c r="H99" i="2" s="1"/>
  <c r="J81" i="2"/>
  <c r="J99" i="2" s="1"/>
  <c r="F81" i="2"/>
  <c r="F99" i="2" s="1"/>
  <c r="N81" i="2"/>
  <c r="N99" i="2" s="1"/>
  <c r="G81" i="2"/>
  <c r="G99" i="2" s="1"/>
  <c r="O81" i="2"/>
  <c r="O99" i="2" s="1"/>
  <c r="C81" i="2"/>
  <c r="I81" i="2"/>
  <c r="I99" i="2" s="1"/>
  <c r="D81" i="2"/>
  <c r="D99" i="2" s="1"/>
  <c r="L81" i="2"/>
  <c r="L99" i="2" s="1"/>
  <c r="K81" i="2"/>
  <c r="K99" i="2" s="1"/>
  <c r="I84" i="2"/>
  <c r="K84" i="2"/>
  <c r="D84" i="2"/>
  <c r="E84" i="2"/>
  <c r="F84" i="2"/>
  <c r="J84" i="2"/>
  <c r="C84" i="2"/>
  <c r="L84" i="2"/>
  <c r="N84" i="2"/>
  <c r="G84" i="2"/>
  <c r="O84" i="2"/>
  <c r="H84" i="2"/>
  <c r="M84" i="2"/>
  <c r="F83" i="2"/>
  <c r="F101" i="2" s="1"/>
  <c r="N83" i="2"/>
  <c r="N101" i="2" s="1"/>
  <c r="L83" i="2"/>
  <c r="L101" i="2" s="1"/>
  <c r="G83" i="2"/>
  <c r="G101" i="2" s="1"/>
  <c r="O83" i="2"/>
  <c r="O101" i="2" s="1"/>
  <c r="H83" i="2"/>
  <c r="H101" i="2" s="1"/>
  <c r="I83" i="2"/>
  <c r="I101" i="2" s="1"/>
  <c r="J83" i="2"/>
  <c r="J101" i="2" s="1"/>
  <c r="K83" i="2"/>
  <c r="K101" i="2" s="1"/>
  <c r="E83" i="2"/>
  <c r="E101" i="2" s="1"/>
  <c r="M83" i="2"/>
  <c r="M101" i="2" s="1"/>
  <c r="C83" i="2"/>
  <c r="C101" i="2" s="1"/>
  <c r="D83" i="2"/>
  <c r="D101" i="2" s="1"/>
  <c r="I87" i="2"/>
  <c r="I105" i="2" s="1"/>
  <c r="C87" i="2"/>
  <c r="C105" i="2" s="1"/>
  <c r="E87" i="2"/>
  <c r="E105" i="2" s="1"/>
  <c r="N87" i="2"/>
  <c r="N105" i="2" s="1"/>
  <c r="G87" i="2"/>
  <c r="G105" i="2" s="1"/>
  <c r="J87" i="2"/>
  <c r="J105" i="2" s="1"/>
  <c r="K87" i="2"/>
  <c r="K105" i="2" s="1"/>
  <c r="D87" i="2"/>
  <c r="D105" i="2" s="1"/>
  <c r="M87" i="2"/>
  <c r="M105" i="2" s="1"/>
  <c r="F87" i="2"/>
  <c r="F105" i="2" s="1"/>
  <c r="H87" i="2"/>
  <c r="H105" i="2" s="1"/>
  <c r="L87" i="2"/>
  <c r="L105" i="2" s="1"/>
  <c r="O87" i="2"/>
  <c r="O105" i="2" s="1"/>
  <c r="C85" i="2"/>
  <c r="K85" i="2"/>
  <c r="E85" i="2"/>
  <c r="I85" i="2"/>
  <c r="D85" i="2"/>
  <c r="L85" i="2"/>
  <c r="M85" i="2"/>
  <c r="F85" i="2"/>
  <c r="O85" i="2"/>
  <c r="H85" i="2"/>
  <c r="G85" i="2"/>
  <c r="J85" i="2"/>
  <c r="N85" i="2"/>
  <c r="C82" i="2"/>
  <c r="K82" i="2"/>
  <c r="M82" i="2"/>
  <c r="F82" i="2"/>
  <c r="O82" i="2"/>
  <c r="H82" i="2"/>
  <c r="I82" i="2"/>
  <c r="D82" i="2"/>
  <c r="L82" i="2"/>
  <c r="E82" i="2"/>
  <c r="N82" i="2"/>
  <c r="J82" i="2"/>
  <c r="G82" i="2"/>
  <c r="F86" i="2"/>
  <c r="F104" i="2" s="1"/>
  <c r="N86" i="2"/>
  <c r="N104" i="2" s="1"/>
  <c r="J86" i="2"/>
  <c r="J104" i="2" s="1"/>
  <c r="C86" i="2"/>
  <c r="C104" i="2" s="1"/>
  <c r="L86" i="2"/>
  <c r="L104" i="2" s="1"/>
  <c r="G86" i="2"/>
  <c r="G104" i="2" s="1"/>
  <c r="O86" i="2"/>
  <c r="O104" i="2" s="1"/>
  <c r="H86" i="2"/>
  <c r="H104" i="2" s="1"/>
  <c r="I86" i="2"/>
  <c r="I104" i="2" s="1"/>
  <c r="D86" i="2"/>
  <c r="D104" i="2" s="1"/>
  <c r="E86" i="2"/>
  <c r="E104" i="2" s="1"/>
  <c r="M86" i="2"/>
  <c r="M104" i="2" s="1"/>
  <c r="K86" i="2"/>
  <c r="K104" i="2" s="1"/>
  <c r="F92" i="2"/>
  <c r="C92" i="2"/>
  <c r="E90" i="2"/>
  <c r="E108" i="2" s="1"/>
  <c r="J92" i="2"/>
  <c r="O92" i="2"/>
  <c r="G92" i="2"/>
  <c r="I90" i="2"/>
  <c r="I108" i="2" s="1"/>
  <c r="N89" i="2"/>
  <c r="F89" i="2"/>
  <c r="N92" i="2"/>
  <c r="M92" i="2"/>
  <c r="J91" i="2"/>
  <c r="J109" i="2" s="1"/>
  <c r="D92" i="2"/>
  <c r="D110" i="2" s="1"/>
  <c r="K92" i="2"/>
  <c r="M90" i="2"/>
  <c r="M108" i="2" s="1"/>
  <c r="J89" i="2"/>
  <c r="D90" i="2"/>
  <c r="D108" i="2" s="1"/>
  <c r="I92" i="2"/>
  <c r="K90" i="2"/>
  <c r="K108" i="2" s="1"/>
  <c r="C90" i="2"/>
  <c r="C108" i="2" s="1"/>
  <c r="H89" i="2"/>
  <c r="E92" i="2"/>
  <c r="L92" i="2"/>
  <c r="I91" i="2"/>
  <c r="I109" i="2" s="1"/>
  <c r="N90" i="2"/>
  <c r="N108" i="2" s="1"/>
  <c r="F90" i="2"/>
  <c r="F108" i="2" s="1"/>
  <c r="L90" i="2"/>
  <c r="L108" i="2" s="1"/>
  <c r="I89" i="2"/>
  <c r="G54" i="2"/>
  <c r="G133" i="2" s="1"/>
  <c r="O89" i="2"/>
  <c r="O54" i="2"/>
  <c r="O133" i="2" s="1"/>
  <c r="H58" i="2"/>
  <c r="H136" i="2" s="1"/>
  <c r="L58" i="2"/>
  <c r="L136" i="2" s="1"/>
  <c r="F54" i="2"/>
  <c r="F133" i="2" s="1"/>
  <c r="M54" i="2"/>
  <c r="M133" i="2" s="1"/>
  <c r="E54" i="2"/>
  <c r="E133" i="2" s="1"/>
  <c r="L54" i="2"/>
  <c r="L133" i="2" s="1"/>
  <c r="D54" i="2"/>
  <c r="D133" i="2" s="1"/>
  <c r="I58" i="2"/>
  <c r="I136" i="2" s="1"/>
  <c r="K54" i="2"/>
  <c r="K133" i="2" s="1"/>
  <c r="C58" i="2"/>
  <c r="C136" i="2" s="1"/>
  <c r="J54" i="2"/>
  <c r="J133" i="2" s="1"/>
  <c r="O58" i="2"/>
  <c r="O136" i="2" s="1"/>
  <c r="G58" i="2"/>
  <c r="G136" i="2" s="1"/>
  <c r="F58" i="2"/>
  <c r="F136" i="2" s="1"/>
  <c r="N54" i="2"/>
  <c r="N133" i="2" s="1"/>
  <c r="K58" i="2"/>
  <c r="K136" i="2" s="1"/>
  <c r="J58" i="2"/>
  <c r="J136" i="2" s="1"/>
  <c r="I54" i="2"/>
  <c r="I133" i="2" s="1"/>
  <c r="N58" i="2"/>
  <c r="N136" i="2" s="1"/>
  <c r="C54" i="2"/>
  <c r="C133" i="2" s="1"/>
  <c r="M58" i="2"/>
  <c r="M136" i="2" s="1"/>
  <c r="E58" i="2"/>
  <c r="E136" i="2" s="1"/>
  <c r="F50" i="2" l="1"/>
  <c r="F130" i="2" s="1"/>
  <c r="E122" i="3" s="1"/>
  <c r="E133" i="3" s="1"/>
  <c r="N50" i="2"/>
  <c r="N130" i="2" s="1"/>
  <c r="M122" i="3" s="1"/>
  <c r="M125" i="3" s="1"/>
  <c r="D50" i="2"/>
  <c r="D130" i="2" s="1"/>
  <c r="E50" i="2"/>
  <c r="E130" i="2" s="1"/>
  <c r="L50" i="2"/>
  <c r="L130" i="2" s="1"/>
  <c r="K122" i="3" s="1"/>
  <c r="M50" i="2"/>
  <c r="M130" i="2" s="1"/>
  <c r="L122" i="3" s="1"/>
  <c r="L125" i="3" s="1"/>
  <c r="L128" i="3" s="1"/>
  <c r="O110" i="2"/>
  <c r="D122" i="3"/>
  <c r="P136" i="2"/>
  <c r="P133" i="2"/>
  <c r="C122" i="3"/>
  <c r="G50" i="2"/>
  <c r="G130" i="2" s="1"/>
  <c r="F122" i="3" s="1"/>
  <c r="C102" i="2"/>
  <c r="O50" i="2"/>
  <c r="O130" i="2" s="1"/>
  <c r="N122" i="3" s="1"/>
  <c r="N133" i="3" s="1"/>
  <c r="M110" i="2"/>
  <c r="H50" i="2"/>
  <c r="H130" i="2" s="1"/>
  <c r="G122" i="3" s="1"/>
  <c r="M91" i="2"/>
  <c r="M109" i="2" s="1"/>
  <c r="H91" i="2"/>
  <c r="H109" i="2" s="1"/>
  <c r="F91" i="2"/>
  <c r="F109" i="2" s="1"/>
  <c r="D91" i="2"/>
  <c r="D109" i="2" s="1"/>
  <c r="O91" i="2"/>
  <c r="O109" i="2" s="1"/>
  <c r="N91" i="2"/>
  <c r="N109" i="2" s="1"/>
  <c r="L91" i="2"/>
  <c r="L109" i="2" s="1"/>
  <c r="G91" i="2"/>
  <c r="G109" i="2" s="1"/>
  <c r="K91" i="2"/>
  <c r="K109" i="2" s="1"/>
  <c r="C91" i="2"/>
  <c r="C109" i="2" s="1"/>
  <c r="C99" i="2"/>
  <c r="D102" i="2"/>
  <c r="K106" i="2"/>
  <c r="N110" i="2"/>
  <c r="J110" i="2"/>
  <c r="C106" i="2"/>
  <c r="O106" i="2"/>
  <c r="L110" i="2"/>
  <c r="E110" i="2"/>
  <c r="I110" i="2"/>
  <c r="G110" i="2"/>
  <c r="E102" i="2"/>
  <c r="J106" i="2"/>
  <c r="I106" i="2"/>
  <c r="F106" i="2"/>
  <c r="C110" i="2"/>
  <c r="G106" i="2"/>
  <c r="L106" i="2"/>
  <c r="F110" i="2"/>
  <c r="N106" i="2"/>
  <c r="D106" i="2"/>
  <c r="H110" i="2"/>
  <c r="K110" i="2"/>
  <c r="M106" i="2"/>
  <c r="M102" i="2"/>
  <c r="E106" i="2"/>
  <c r="N132" i="2"/>
  <c r="N100" i="2"/>
  <c r="E132" i="2"/>
  <c r="E100" i="2"/>
  <c r="K132" i="2"/>
  <c r="K100" i="2"/>
  <c r="M135" i="2"/>
  <c r="M103" i="2"/>
  <c r="L132" i="2"/>
  <c r="L100" i="2"/>
  <c r="C132" i="2"/>
  <c r="C100" i="2"/>
  <c r="L135" i="2"/>
  <c r="L103" i="2"/>
  <c r="D132" i="2"/>
  <c r="D100" i="2"/>
  <c r="N135" i="2"/>
  <c r="N103" i="2"/>
  <c r="D135" i="2"/>
  <c r="D103" i="2"/>
  <c r="M132" i="2"/>
  <c r="M100" i="2"/>
  <c r="I132" i="2"/>
  <c r="I100" i="2"/>
  <c r="J103" i="2"/>
  <c r="J135" i="2"/>
  <c r="I103" i="2"/>
  <c r="I135" i="2"/>
  <c r="F135" i="2"/>
  <c r="F103" i="2"/>
  <c r="H132" i="2"/>
  <c r="H100" i="2"/>
  <c r="G103" i="2"/>
  <c r="G135" i="2"/>
  <c r="E135" i="2"/>
  <c r="E103" i="2"/>
  <c r="G132" i="2"/>
  <c r="G100" i="2"/>
  <c r="O132" i="2"/>
  <c r="O100" i="2"/>
  <c r="H103" i="2"/>
  <c r="H134" i="2" s="1"/>
  <c r="H135" i="2"/>
  <c r="K135" i="2"/>
  <c r="K103" i="2"/>
  <c r="J132" i="2"/>
  <c r="J100" i="2"/>
  <c r="F132" i="2"/>
  <c r="F100" i="2"/>
  <c r="O103" i="2"/>
  <c r="O135" i="2"/>
  <c r="C103" i="2"/>
  <c r="C135" i="2"/>
  <c r="K107" i="2"/>
  <c r="L107" i="2"/>
  <c r="O107" i="2"/>
  <c r="E138" i="2"/>
  <c r="E107" i="2"/>
  <c r="I138" i="2"/>
  <c r="I107" i="2"/>
  <c r="H107" i="2"/>
  <c r="J138" i="2"/>
  <c r="J107" i="2"/>
  <c r="F107" i="2"/>
  <c r="D107" i="2"/>
  <c r="C107" i="2"/>
  <c r="M107" i="2"/>
  <c r="N107" i="2"/>
  <c r="G107" i="2"/>
  <c r="I50" i="2"/>
  <c r="I130" i="2" s="1"/>
  <c r="H122" i="3" s="1"/>
  <c r="J50" i="2"/>
  <c r="J130" i="2" s="1"/>
  <c r="I122" i="3" s="1"/>
  <c r="K50" i="2"/>
  <c r="K130" i="2" s="1"/>
  <c r="J122" i="3" s="1"/>
  <c r="O133" i="3" l="1"/>
  <c r="I125" i="3"/>
  <c r="I131" i="3" s="1"/>
  <c r="G102" i="2"/>
  <c r="G131" i="2" s="1"/>
  <c r="L102" i="2"/>
  <c r="L131" i="2" s="1"/>
  <c r="N102" i="2"/>
  <c r="F102" i="2"/>
  <c r="F131" i="2" s="1"/>
  <c r="H125" i="3"/>
  <c r="H128" i="3" s="1"/>
  <c r="P132" i="2"/>
  <c r="C125" i="3"/>
  <c r="C128" i="3" s="1"/>
  <c r="P135" i="2"/>
  <c r="F125" i="3"/>
  <c r="F128" i="3" s="1"/>
  <c r="L131" i="3"/>
  <c r="P130" i="2"/>
  <c r="G125" i="3"/>
  <c r="G128" i="3" s="1"/>
  <c r="P142" i="2"/>
  <c r="B122" i="3"/>
  <c r="K125" i="3"/>
  <c r="K131" i="3" s="1"/>
  <c r="J125" i="3"/>
  <c r="J131" i="3" s="1"/>
  <c r="D125" i="3"/>
  <c r="D128" i="3" s="1"/>
  <c r="O102" i="2"/>
  <c r="O131" i="2" s="1"/>
  <c r="K134" i="2"/>
  <c r="N138" i="2"/>
  <c r="J137" i="2"/>
  <c r="L138" i="2"/>
  <c r="F134" i="2"/>
  <c r="H102" i="2"/>
  <c r="H131" i="2" s="1"/>
  <c r="M138" i="2"/>
  <c r="D138" i="2"/>
  <c r="E137" i="2"/>
  <c r="D137" i="2"/>
  <c r="D131" i="2"/>
  <c r="I137" i="2"/>
  <c r="O137" i="2"/>
  <c r="O138" i="2"/>
  <c r="H138" i="2"/>
  <c r="M137" i="2"/>
  <c r="C138" i="2"/>
  <c r="N137" i="2"/>
  <c r="K138" i="2"/>
  <c r="C134" i="2"/>
  <c r="D134" i="2"/>
  <c r="C131" i="2"/>
  <c r="F138" i="2"/>
  <c r="C137" i="2"/>
  <c r="H137" i="2"/>
  <c r="G138" i="2"/>
  <c r="I134" i="2"/>
  <c r="N134" i="2"/>
  <c r="P93" i="2"/>
  <c r="G137" i="2"/>
  <c r="K137" i="2"/>
  <c r="O134" i="2"/>
  <c r="K102" i="2"/>
  <c r="K131" i="2" s="1"/>
  <c r="E134" i="2"/>
  <c r="G134" i="2"/>
  <c r="E131" i="2"/>
  <c r="F137" i="2"/>
  <c r="L137" i="2"/>
  <c r="J102" i="2"/>
  <c r="J131" i="2" s="1"/>
  <c r="N131" i="2"/>
  <c r="J134" i="2"/>
  <c r="M134" i="2"/>
  <c r="P59" i="2"/>
  <c r="M131" i="2"/>
  <c r="L134" i="2"/>
  <c r="I102" i="2"/>
  <c r="I131" i="2" s="1"/>
  <c r="I128" i="3" l="1"/>
  <c r="G131" i="3"/>
  <c r="N74" i="6"/>
  <c r="L76" i="6"/>
  <c r="J128" i="3"/>
  <c r="H131" i="3"/>
  <c r="G74" i="6"/>
  <c r="E74" i="6"/>
  <c r="K76" i="6"/>
  <c r="K77" i="6"/>
  <c r="K74" i="6"/>
  <c r="K75" i="6"/>
  <c r="J75" i="6"/>
  <c r="J77" i="6"/>
  <c r="J76" i="6"/>
  <c r="J74" i="6"/>
  <c r="B75" i="6"/>
  <c r="B74" i="6"/>
  <c r="B77" i="6"/>
  <c r="B76" i="6"/>
  <c r="K128" i="3"/>
  <c r="F131" i="3"/>
  <c r="D76" i="6"/>
  <c r="D75" i="6"/>
  <c r="D77" i="6"/>
  <c r="D74" i="6"/>
  <c r="P131" i="2"/>
  <c r="H75" i="6"/>
  <c r="H76" i="6"/>
  <c r="H74" i="6"/>
  <c r="H77" i="6"/>
  <c r="P134" i="2"/>
  <c r="O122" i="3"/>
  <c r="B125" i="3"/>
  <c r="P138" i="2"/>
  <c r="C131" i="3"/>
  <c r="I75" i="6"/>
  <c r="I76" i="6"/>
  <c r="I77" i="6"/>
  <c r="I74" i="6"/>
  <c r="P137" i="2"/>
  <c r="D131" i="3"/>
  <c r="P111" i="2"/>
  <c r="E75" i="6" l="1"/>
  <c r="G75" i="6"/>
  <c r="G76" i="6"/>
  <c r="G77" i="6"/>
  <c r="L74" i="6"/>
  <c r="N77" i="6"/>
  <c r="N76" i="6"/>
  <c r="E77" i="6"/>
  <c r="N75" i="6"/>
  <c r="E76" i="6"/>
  <c r="O72" i="6"/>
  <c r="L75" i="6"/>
  <c r="L77" i="6"/>
  <c r="B131" i="3"/>
  <c r="O125" i="3"/>
  <c r="B128" i="3"/>
  <c r="C76" i="6"/>
  <c r="C74" i="6"/>
  <c r="C77" i="6"/>
  <c r="C75" i="6"/>
  <c r="P143" i="2"/>
  <c r="P144" i="2"/>
  <c r="F77" i="6"/>
  <c r="F75" i="6"/>
  <c r="F76" i="6"/>
  <c r="F74" i="6"/>
  <c r="M76" i="6"/>
  <c r="M75" i="6"/>
  <c r="M74" i="6"/>
  <c r="M77" i="6"/>
  <c r="O74" i="6" l="1"/>
  <c r="O76" i="6"/>
  <c r="P76" i="6" s="1"/>
  <c r="O128" i="3"/>
  <c r="O77" i="6"/>
  <c r="P77" i="6" s="1"/>
  <c r="O75" i="6"/>
  <c r="P75" i="6" s="1"/>
  <c r="O131" i="3"/>
  <c r="O79" i="6" l="1"/>
  <c r="P7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38EB7-EEAF-405C-8AC8-1C4267491530}" keepAlive="1" name="Query - Voorraad_woningen__gemiddeld_oppervlak__woningtype__bouwjaarklasse__regio_310320" description="Connection to the 'Voorraad_woningen__gemiddeld_oppervlak__woningtype__bouwjaarklasse__regio_310320' query in the workbook." type="5" refreshedVersion="0" background="1" saveData="1">
    <dbPr connection="Provider=Microsoft.Mashup.OleDb.1;Data Source=$Workbook$;Location=Voorraad_woningen__gemiddeld_oppervlak__woningtype__bouwjaarklasse__regio_310320;Extended Properties=&quot;&quot;" command="SELECT * FROM [Voorraad_woningen__gemiddeld_oppervlak__woningtype__bouwjaarklasse__regio_31032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<sst xmlns="http://schemas.openxmlformats.org/spreadsheetml/2006/main" count="800" uniqueCount="266">
  <si>
    <t>Cohort</t>
  </si>
  <si>
    <t>Copper</t>
  </si>
  <si>
    <t>Aluminum</t>
  </si>
  <si>
    <t>Other metals</t>
  </si>
  <si>
    <t>Wood</t>
  </si>
  <si>
    <t>Concrete</t>
  </si>
  <si>
    <t>Glass</t>
  </si>
  <si>
    <t>Ceramics</t>
  </si>
  <si>
    <t>Plastic</t>
  </si>
  <si>
    <t>Insulation</t>
  </si>
  <si>
    <t>&lt;1945</t>
  </si>
  <si>
    <t>1945-1970</t>
  </si>
  <si>
    <t>1970-2000</t>
  </si>
  <si>
    <t>MATERIAL INTENSITIES 2018</t>
  </si>
  <si>
    <t>%</t>
  </si>
  <si>
    <t>Steel &amp; iron</t>
  </si>
  <si>
    <t>Clay brick</t>
  </si>
  <si>
    <t>Plastics</t>
  </si>
  <si>
    <t>&gt;2000</t>
  </si>
  <si>
    <t>Apartment</t>
  </si>
  <si>
    <t>Terraced house</t>
  </si>
  <si>
    <t>Detached or semi-detached house</t>
  </si>
  <si>
    <t>Total</t>
  </si>
  <si>
    <t>Single-family house</t>
  </si>
  <si>
    <t>Multi-family house</t>
  </si>
  <si>
    <t>1000 to 1850</t>
  </si>
  <si>
    <t>1850 to 1905</t>
  </si>
  <si>
    <t>1905 to 1925</t>
  </si>
  <si>
    <t>1925 to 1945</t>
  </si>
  <si>
    <t>1945 to 1955</t>
  </si>
  <si>
    <t>1955 to 1965</t>
  </si>
  <si>
    <t>1965 to 1975</t>
  </si>
  <si>
    <t>1975 to 1985</t>
  </si>
  <si>
    <t>1985 to 1995</t>
  </si>
  <si>
    <t>1995 to 2005</t>
  </si>
  <si>
    <t>2005 to 2015</t>
  </si>
  <si>
    <t>from 2015</t>
  </si>
  <si>
    <t>NEW CONSTRUCTION 2019</t>
  </si>
  <si>
    <t>MATERIAL INFLOW 2019</t>
  </si>
  <si>
    <t>Calculated</t>
  </si>
  <si>
    <t>DEMOLITION 2019</t>
  </si>
  <si>
    <t>(kg/m2 UFA)</t>
  </si>
  <si>
    <t>(tonnes)</t>
  </si>
  <si>
    <t>Number of dwellings</t>
  </si>
  <si>
    <t xml:space="preserve">Apartment </t>
  </si>
  <si>
    <t>Useful floor area demolished (m2)</t>
  </si>
  <si>
    <t>MATERIAL OUTFLOW 2019</t>
  </si>
  <si>
    <t>MATERIAL STOCK 2018</t>
  </si>
  <si>
    <t>MATERIAL STOCK 2019</t>
  </si>
  <si>
    <t>AGGREGATED MATERIAL STOCKS AND FLOWS 2019</t>
  </si>
  <si>
    <t>Inflow</t>
  </si>
  <si>
    <t>Stock</t>
  </si>
  <si>
    <t>Outflow</t>
  </si>
  <si>
    <t>Imported</t>
  </si>
  <si>
    <t>NL</t>
  </si>
  <si>
    <t>Beton/mortel</t>
  </si>
  <si>
    <t>Hout primair</t>
  </si>
  <si>
    <t>Source: number of constructed dwellings and gross floor area from Arnoldussen et al. (2022), conversion factors from Arnoldussen et al. (2020), orange is calculated</t>
  </si>
  <si>
    <t>Average useful floor area per dwelling (m2)</t>
  </si>
  <si>
    <t>Source: number of demolished dwellings from Arnoldussen et al. (2022), average useful floor area per dwelling derived from CBS (scroll right), orange is calculated</t>
  </si>
  <si>
    <t>-</t>
  </si>
  <si>
    <t>Triplex e.d.van hout</t>
  </si>
  <si>
    <t>Fineer/plaat v.hout</t>
  </si>
  <si>
    <t>Raam/kozijn v.hout</t>
  </si>
  <si>
    <t>Deuren v.hout</t>
  </si>
  <si>
    <t>Ov.timmerwerk</t>
  </si>
  <si>
    <t>Recycling</t>
  </si>
  <si>
    <t>Landfill</t>
  </si>
  <si>
    <t>Unknown</t>
  </si>
  <si>
    <t>Incineration w/o energy recovery</t>
  </si>
  <si>
    <t>Incineration w/ energy recovery</t>
  </si>
  <si>
    <t>Material outflow 2019 (residential and commercial buildings and infrastructure) (RWS):</t>
  </si>
  <si>
    <t>% of outflow due to residential building demolition (Arnoldussen et al., 2022)</t>
  </si>
  <si>
    <t>Estimated amount of RWS outflow value due to residential building demolition</t>
  </si>
  <si>
    <t>Material inflow 2019 from Arnoldussen et al. (2022) (excl. renovation):</t>
  </si>
  <si>
    <t>Material inflow 2019 from Yang et al. (2022) (estimated from graphs) (incl. renovation):</t>
  </si>
  <si>
    <t>Material outflow 2019 from Arnoldussen et al. (2022) (excl. renovation):</t>
  </si>
  <si>
    <t>Material outflow 2019 from Yang et al. (2022) (estimated from graphs) (incl. renovation):</t>
  </si>
  <si>
    <t>Material stock 2018 from van Oorschot et al. (2023) (excl. renovation):</t>
  </si>
  <si>
    <t>Material stock 2019 from Yang et al. (2022) (estimated from graphs) (incl. renovation):</t>
  </si>
  <si>
    <t>Ceramic goods</t>
  </si>
  <si>
    <t>Glass and glass products</t>
  </si>
  <si>
    <t>Aluminium and aluminium products</t>
  </si>
  <si>
    <t>Copper products</t>
  </si>
  <si>
    <t>Bricks, tiles and construction products, in baked clay</t>
  </si>
  <si>
    <t>Wood and products of wood and cork (except furniture); articles of straw and plaiting materials (20)</t>
  </si>
  <si>
    <t>Other minerals</t>
  </si>
  <si>
    <t>Other materials</t>
  </si>
  <si>
    <t>Incineration</t>
  </si>
  <si>
    <t>Landfill (tonnes)</t>
  </si>
  <si>
    <t>Total (tonnes)</t>
  </si>
  <si>
    <t>Source: https://afvalmonitor.databank.nl/Jive/Jive?cat_open=landelijk%20niveau/Samenstelling%20van%20huishoudelijk%20restafval</t>
  </si>
  <si>
    <t>TREATMENT OF BUILDING DEMOLITION WASTE 2019</t>
  </si>
  <si>
    <t>Source: Conde et al. (2022)</t>
  </si>
  <si>
    <t>Incineration (tonnes)</t>
  </si>
  <si>
    <t>Recycling and reuse (tonnes)</t>
  </si>
  <si>
    <t>Minerals</t>
  </si>
  <si>
    <t>Metals</t>
  </si>
  <si>
    <t>Fossil fuels and others</t>
  </si>
  <si>
    <t>Biomass</t>
  </si>
  <si>
    <t>Percent of total waste treatment (%)</t>
  </si>
  <si>
    <t>Treatment of construction waste 2019 (from buildings and infrastructure) (tonnes)</t>
  </si>
  <si>
    <t>Source: van der Schuit et al. (2023)</t>
  </si>
  <si>
    <t>EOL Collection Rate (%)</t>
  </si>
  <si>
    <t>Source: Verhagen et al. (2021)</t>
  </si>
  <si>
    <t>Recycling and reuse (%)</t>
  </si>
  <si>
    <t>Incineration (%)</t>
  </si>
  <si>
    <t>Landfill (%)</t>
  </si>
  <si>
    <t xml:space="preserve">WASTE TREATMENT FLOWS 2019 </t>
  </si>
  <si>
    <t>Material outflow 2019 (tonnes)</t>
  </si>
  <si>
    <t>Proportion recycled (%)</t>
  </si>
  <si>
    <t>Recycled flow (tonnes)</t>
  </si>
  <si>
    <t>Proportion incinerated (%)</t>
  </si>
  <si>
    <t>Incinerated flow (tonnes)</t>
  </si>
  <si>
    <t>Proportion landfilled (%)</t>
  </si>
  <si>
    <t>Lanfilled flow (tonnes)</t>
  </si>
  <si>
    <t>Proportion unknown (%)</t>
  </si>
  <si>
    <t>Unknown flow (tonnes)</t>
  </si>
  <si>
    <t>Basic iron and steel and of ferro-alloys and first products thereof</t>
  </si>
  <si>
    <t>Rubber and plastic products</t>
  </si>
  <si>
    <t>Stenen van beton</t>
  </si>
  <si>
    <t>Overige betonwaren</t>
  </si>
  <si>
    <t>Bouwelem.v.beton</t>
  </si>
  <si>
    <t>Ijzer en staal</t>
  </si>
  <si>
    <t>Imports (million kilo)</t>
  </si>
  <si>
    <t>Total (million kilo)</t>
  </si>
  <si>
    <t>Koper ed</t>
  </si>
  <si>
    <t>Aluminium ed</t>
  </si>
  <si>
    <t>Ov. Keramische prod.</t>
  </si>
  <si>
    <t>Vlakglasproducten</t>
  </si>
  <si>
    <t>Keram.Bouwmat/Tegels</t>
  </si>
  <si>
    <t>Bouwart.v.kunst.</t>
  </si>
  <si>
    <t>Comparison to other studies:</t>
  </si>
  <si>
    <t>TREATMENT OF CONSTRUCTION SECTOR WASTE 2019</t>
  </si>
  <si>
    <t>Material inflow 2019 (tonnes)</t>
  </si>
  <si>
    <t>Proportion secondary material (%)</t>
  </si>
  <si>
    <t>Secondary material (tonnes)</t>
  </si>
  <si>
    <t>Metal.constructiewerk</t>
  </si>
  <si>
    <t>CV-ketels/radiatoren</t>
  </si>
  <si>
    <t>Domestically produced (tonnes)</t>
  </si>
  <si>
    <t>Imported (tonnes)</t>
  </si>
  <si>
    <t>Region of production</t>
  </si>
  <si>
    <t>Consumption of different products by the Dutch construction sector (million euros)</t>
  </si>
  <si>
    <t>Fabricated metal products, except machinery and equipment</t>
  </si>
  <si>
    <t>Steel &amp; iron (products)</t>
  </si>
  <si>
    <t>Copper (products)</t>
  </si>
  <si>
    <t>Aluminum (products)</t>
  </si>
  <si>
    <t>Wood (products)</t>
  </si>
  <si>
    <t>Concrete (products)</t>
  </si>
  <si>
    <t>Glass (products)</t>
  </si>
  <si>
    <t>Ceramic (products)</t>
  </si>
  <si>
    <t>Plastic (products)</t>
  </si>
  <si>
    <t>WHERE MATERIALS/PRODUCTS WERE LASTLY PRODUCED</t>
  </si>
  <si>
    <t>Source: Arnoldussen et al. (2022)</t>
  </si>
  <si>
    <t>Ceramic</t>
  </si>
  <si>
    <t>Proportion of input that is from secondary materials</t>
  </si>
  <si>
    <t>EXIOBASE DATA FOR WHERE MATERIALS/PRODUCTS WERE LASTLY PRODUCED</t>
  </si>
  <si>
    <t>Proportion of primary material domestically producted (%)</t>
  </si>
  <si>
    <t>Proportion of primary material imported (%)</t>
  </si>
  <si>
    <t>TREATMENT OF CONSTRUCTION SECTOR WASTE 2020 (including buildings and infrastructure)</t>
  </si>
  <si>
    <t>EOL COLLECTION RATES FROM BUILDING DEMOLITION (defined as the amount suitable for recycling back into buildings)</t>
  </si>
  <si>
    <t>WASTE TREATMENT RATES USED IN THIS STUDY</t>
  </si>
  <si>
    <t>Recyled/reused materials from building demolition</t>
  </si>
  <si>
    <t>Materials recycled back into buildings</t>
  </si>
  <si>
    <t>Materials downcycled into infrastructure</t>
  </si>
  <si>
    <t>Material flow (megatonnes)</t>
  </si>
  <si>
    <t>Share of recycled material flow (%)</t>
  </si>
  <si>
    <t>MATERIAL RECYCLED BACK INTO BUILDINGS (including residential and commercial buildings) (2019)</t>
  </si>
  <si>
    <t>Source: van der Schuit et al. (2023) as derived from the RWS Afvalmonitor, "other" material categories use Conde et al. (2022) values</t>
  </si>
  <si>
    <t>Recycled back into housing (tonnes)</t>
  </si>
  <si>
    <t>Source: van Oorschot et al. (2020, 2023)</t>
  </si>
  <si>
    <t>Conversion factor (UFA/GFA)</t>
  </si>
  <si>
    <t>Gross floor area (GFA) constructed (m2)</t>
  </si>
  <si>
    <t>Useful floor area (UFA) constructed (m2)</t>
  </si>
  <si>
    <t xml:space="preserve">Total </t>
  </si>
  <si>
    <t>EXIOBASE v.3.8.2 2019 (specific to construction sector, including buildings and infrastructure)</t>
  </si>
  <si>
    <t>van der Schuit et al. (2023) (based on CBS Material Monitor and not specific to construction sector)</t>
  </si>
  <si>
    <t>Source: values are calculated from source shown in columns</t>
  </si>
  <si>
    <t>PROPORTION OF INPUT THAT COMES FROM SECONDARY MATERIALS</t>
  </si>
  <si>
    <t>Calculated from EXIOBASE v.3.8.2 for 2019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</si>
  <si>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</si>
  <si>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</si>
  <si>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</si>
  <si>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</si>
  <si>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</si>
  <si>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</si>
  <si>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</si>
  <si>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</si>
  <si>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</si>
  <si>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</si>
  <si>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</si>
  <si>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</si>
  <si>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</si>
  <si>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</si>
  <si>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</si>
  <si>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</si>
  <si>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</si>
  <si>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</si>
  <si>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</si>
  <si>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</si>
  <si>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</si>
  <si>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</si>
  <si>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</si>
  <si>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</si>
  <si>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</si>
  <si>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</si>
  <si>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</si>
  <si>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</si>
  <si>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</si>
  <si>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</si>
  <si>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</si>
  <si>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</si>
  <si>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</si>
  <si>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</si>
  <si>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</si>
  <si>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</si>
  <si>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</si>
  <si>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</si>
  <si>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</si>
  <si>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</si>
  <si>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</si>
  <si>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</si>
  <si>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</si>
  <si>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</si>
  <si>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</si>
  <si>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</si>
  <si>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</si>
  <si>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</si>
  <si>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</si>
  <si>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MATERIAL ORIGIN FLOWS 2019</t>
  </si>
  <si>
    <t>CBS MFM DATA FOR MATERIAL/PRODUCT IMPORTS</t>
  </si>
  <si>
    <t>MFM product category number</t>
  </si>
  <si>
    <t>MFM product category name</t>
  </si>
  <si>
    <t>Source: CBS Material Flow Monitor (MFM) 2018</t>
  </si>
  <si>
    <t>CBS Material Flow Monitor 2018 (not specific to construction sector)</t>
  </si>
  <si>
    <t>Source: Arnoldussen et al. (2020) as cited in van Oorschot et al. (2020, 2023)</t>
  </si>
  <si>
    <t>Zand</t>
  </si>
  <si>
    <t>Gips</t>
  </si>
  <si>
    <t>all</t>
  </si>
  <si>
    <t>Sand</t>
  </si>
  <si>
    <t>Mortar</t>
  </si>
  <si>
    <t>Gypsum</t>
  </si>
  <si>
    <t>Origin unknown</t>
  </si>
  <si>
    <t>Renovation inflow 2014</t>
  </si>
  <si>
    <t>Renovation outflow 2014</t>
  </si>
  <si>
    <t>Total renovation inflow 2019</t>
  </si>
  <si>
    <t>Total renovation outflow 2019</t>
  </si>
  <si>
    <t>tonnes</t>
  </si>
  <si>
    <t>Renovation inflow 2019</t>
  </si>
  <si>
    <t>Renovation outflow 2019</t>
  </si>
  <si>
    <t>REPAIR AND RENOVATION FLOWS</t>
  </si>
  <si>
    <t>Repair and renovation</t>
  </si>
  <si>
    <t>Greenhouse gas emissions of primary production (kg CO2 eq./ kg)</t>
  </si>
  <si>
    <t>Greenhouse gas emissions of secondary production (kg CO2 eq./ kg)</t>
  </si>
  <si>
    <t>Land use impacts (m2/ year/ kg)</t>
  </si>
  <si>
    <t>Primary material inflow (tonnes)</t>
  </si>
  <si>
    <t>Secondary material inflow (tonnes)</t>
  </si>
  <si>
    <t>Land use impacts of material inflow (m2/year)</t>
  </si>
  <si>
    <t>Average surface area (2019) (https://opendata.cbs.nl/statline/#/CBS/nl/dataset/82550NED/table?fromstatweb)</t>
  </si>
  <si>
    <t>Source: Arnoldussen et al. (2020, 2022), orange is calculated</t>
  </si>
  <si>
    <t>Share within "other minerals" (van Oorschot et al., 2023):</t>
  </si>
  <si>
    <t>Greenhouse gas emissions of primary material inflow (kg CO2 eq.)</t>
  </si>
  <si>
    <t>Greenhouse gas emissions of secondary material inflow (kg CO2 eq.)</t>
  </si>
  <si>
    <t>Source: van Oorschot et al. (2023)</t>
  </si>
  <si>
    <t>TOTAL GHG AND LAND USE IMPACTS FOR 2019 MATERIAL DEMAND</t>
  </si>
  <si>
    <t>GHG AND LAND USE IMPACTS FOR PRODUCTION OF EACH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</si>
</sst>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venir Next LT Pro Light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77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1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11" fontId="5" fillId="0" borderId="0" xfId="0" applyNumberFormat="1" applyFont="1"/>
    <xf numFmtId="1" fontId="5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0" fontId="0" fillId="0" borderId="0" xfId="0" applyNumberFormat="1"/>
    <xf numFmtId="9" fontId="5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5" xfId="0" applyBorder="1"/>
    <xf numFmtId="0" fontId="0" fillId="0" borderId="4" xfId="0" applyBorder="1" applyAlignment="1">
      <alignment wrapText="1"/>
    </xf>
    <xf numFmtId="0" fontId="6" fillId="0" borderId="0" xfId="0" applyFont="1"/>
    <xf numFmtId="9" fontId="0" fillId="0" borderId="0" xfId="0" applyNumberFormat="1"/>
    <xf numFmtId="164" fontId="0" fillId="0" borderId="0" xfId="0" applyNumberFormat="1" applyAlignment="1">
      <alignment wrapText="1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9" fontId="0" fillId="0" borderId="0" xfId="1" applyFont="1"/>
    <xf numFmtId="164" fontId="0" fillId="0" borderId="0" xfId="1" applyNumberFormat="1" applyFont="1"/>
    <xf numFmtId="9" fontId="5" fillId="0" borderId="1" xfId="0" applyNumberFormat="1" applyFont="1" applyBorder="1" applyAlignment="1">
      <alignment horizontal="right"/>
    </xf>
    <xf numFmtId="9" fontId="5" fillId="0" borderId="2" xfId="0" applyNumberFormat="1" applyFont="1" applyBorder="1" applyAlignment="1">
      <alignment horizontal="right"/>
    </xf>
    <xf numFmtId="9" fontId="0" fillId="3" borderId="0" xfId="0" applyNumberFormat="1" applyFill="1" applyAlignment="1">
      <alignment horizontal="right"/>
    </xf>
    <xf numFmtId="2" fontId="5" fillId="3" borderId="0" xfId="0" applyNumberFormat="1" applyFont="1" applyFill="1" applyAlignment="1">
      <alignment horizontal="right"/>
    </xf>
    <xf numFmtId="0" fontId="1" fillId="0" borderId="1" xfId="0" applyFont="1" applyBorder="1"/>
    <xf numFmtId="9" fontId="0" fillId="0" borderId="0" xfId="1" applyFont="1" applyFill="1"/>
    <xf numFmtId="0" fontId="1" fillId="0" borderId="0" xfId="0" applyFont="1"/>
    <xf numFmtId="9" fontId="5" fillId="0" borderId="1" xfId="0" applyNumberFormat="1" applyFont="1" applyBorder="1"/>
    <xf numFmtId="0" fontId="8" fillId="0" borderId="3" xfId="2" applyFont="1" applyBorder="1" applyAlignment="1">
      <alignment horizontal="left" vertical="top" wrapText="1"/>
    </xf>
    <xf numFmtId="0" fontId="0" fillId="4" borderId="0" xfId="0" applyFill="1"/>
    <xf numFmtId="11" fontId="5" fillId="4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1" fontId="8" fillId="0" borderId="3" xfId="2" applyNumberFormat="1" applyFont="1" applyBorder="1" applyAlignment="1">
      <alignment horizontal="right"/>
    </xf>
    <xf numFmtId="1" fontId="8" fillId="0" borderId="7" xfId="2" applyNumberFormat="1" applyFont="1" applyBorder="1" applyAlignment="1">
      <alignment horizontal="right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8" fillId="0" borderId="8" xfId="2" applyFont="1" applyBorder="1" applyAlignment="1">
      <alignment horizontal="left" wrapText="1"/>
    </xf>
    <xf numFmtId="9" fontId="5" fillId="0" borderId="0" xfId="0" applyNumberFormat="1" applyFont="1"/>
    <xf numFmtId="164" fontId="5" fillId="0" borderId="0" xfId="1" applyNumberFormat="1" applyFont="1" applyFill="1"/>
    <xf numFmtId="9" fontId="5" fillId="0" borderId="0" xfId="1" applyFont="1"/>
    <xf numFmtId="11" fontId="0" fillId="3" borderId="0" xfId="0" applyNumberFormat="1" applyFill="1"/>
    <xf numFmtId="0" fontId="6" fillId="0" borderId="0" xfId="0" applyFont="1" applyAlignment="1">
      <alignment horizontal="right"/>
    </xf>
    <xf numFmtId="0" fontId="8" fillId="0" borderId="9" xfId="2" applyFont="1" applyBorder="1" applyAlignment="1">
      <alignment horizontal="left" wrapText="1"/>
    </xf>
    <xf numFmtId="0" fontId="0" fillId="0" borderId="2" xfId="0" applyBorder="1"/>
    <xf numFmtId="0" fontId="8" fillId="0" borderId="10" xfId="2" applyFont="1" applyBorder="1" applyAlignment="1">
      <alignment horizontal="left" wrapText="1"/>
    </xf>
    <xf numFmtId="0" fontId="8" fillId="0" borderId="11" xfId="2" applyFont="1" applyBorder="1" applyAlignment="1">
      <alignment horizontal="left" vertical="top" wrapText="1"/>
    </xf>
    <xf numFmtId="1" fontId="8" fillId="0" borderId="11" xfId="2" applyNumberFormat="1" applyFont="1" applyBorder="1" applyAlignment="1">
      <alignment horizontal="right"/>
    </xf>
    <xf numFmtId="0" fontId="0" fillId="0" borderId="8" xfId="0" applyBorder="1"/>
    <xf numFmtId="2" fontId="5" fillId="0" borderId="0" xfId="0" applyNumberFormat="1" applyFont="1"/>
    <xf numFmtId="0" fontId="0" fillId="0" borderId="0" xfId="1" applyNumberFormat="1" applyFont="1"/>
    <xf numFmtId="9" fontId="5" fillId="0" borderId="0" xfId="1" applyFont="1" applyFill="1"/>
    <xf numFmtId="0" fontId="0" fillId="0" borderId="0" xfId="0"/>
    <xf numFmtId="0" fontId="4" fillId="0" borderId="0" xfId="0" applyFont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Percent" xfId="1" builtinId="5"/>
    <cellStyle name="Standaard_PST_Extern" xfId="2" xr:uid="{04B84E78-9156-4255-8C56-4EB2C3345A15}"/>
  </cellStyles>
  <dxfs count="1">
    <dxf>
      <font>
        <color theme="0"/>
      </font>
    </dxf>
  </dxfs>
  <tableStyles count="0" defaultTableStyle="TableStyleMedium2" defaultPivotStyle="PivotStyleLight16"/>
  <colors>
    <mruColors>
      <color rgb="FFFDB462"/>
      <color rgb="FFB3DE69"/>
      <color rgb="FFE7298A"/>
      <color rgb="FFE377C2"/>
      <color rgb="FF8C564B"/>
      <color rgb="FFDF5353"/>
      <color rgb="FFFFE156"/>
      <color rgb="FFD62728"/>
      <color rgb="FF7F7F7F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0503-5ED9-4DDD-BA84-D19F3BEFDE3D}">
  <dimension ref="A2:CT146"/>
  <sheetViews>
    <sheetView tabSelected="1" topLeftCell="A119" zoomScale="80" zoomScaleNormal="68" workbookViewId="0">
      <selection activeCell="B115" sqref="B115"/>
    </sheetView>
  </sheetViews>
  <sheetFormatPr defaultRowHeight="14.4" x14ac:dyDescent="0.3"/>
  <cols>
    <col min="1" max="1" width="31" customWidth="1"/>
    <col min="2" max="2" width="10.44140625" customWidth="1"/>
    <col min="3" max="9" width="12" customWidth="1"/>
    <col min="10" max="10" width="13.44140625" customWidth="1"/>
    <col min="11" max="14" width="12" customWidth="1"/>
    <col min="15" max="15" width="13.5546875" customWidth="1"/>
    <col min="16" max="16" width="13.44140625" customWidth="1"/>
    <col min="17" max="17" width="10.33203125" bestFit="1" customWidth="1"/>
    <col min="18" max="18" width="73" customWidth="1"/>
    <col min="19" max="19" width="18.33203125" customWidth="1"/>
    <col min="20" max="20" width="31" customWidth="1"/>
    <col min="21" max="21" width="14.33203125" customWidth="1"/>
    <col min="22" max="22" width="12.33203125" customWidth="1"/>
    <col min="35" max="35" width="12.88671875" bestFit="1" customWidth="1"/>
  </cols>
  <sheetData>
    <row r="2" spans="1:21" x14ac:dyDescent="0.3">
      <c r="A2" s="8" t="s">
        <v>13</v>
      </c>
      <c r="B2" s="9" t="s">
        <v>235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1" x14ac:dyDescent="0.3">
      <c r="B3" t="s">
        <v>0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16</v>
      </c>
      <c r="J3" t="s">
        <v>86</v>
      </c>
      <c r="K3" t="s">
        <v>6</v>
      </c>
      <c r="L3" t="s">
        <v>7</v>
      </c>
      <c r="M3" t="s">
        <v>8</v>
      </c>
      <c r="N3" t="s">
        <v>9</v>
      </c>
      <c r="O3" t="s">
        <v>87</v>
      </c>
    </row>
    <row r="4" spans="1:21" x14ac:dyDescent="0.3"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T4" s="29"/>
      <c r="U4" s="29"/>
    </row>
    <row r="5" spans="1:21" x14ac:dyDescent="0.3">
      <c r="A5" t="s">
        <v>21</v>
      </c>
      <c r="B5" t="s">
        <v>10</v>
      </c>
      <c r="C5" s="1">
        <v>64.5</v>
      </c>
      <c r="D5" s="1">
        <v>0.88400000000000001</v>
      </c>
      <c r="E5" s="1">
        <v>0.151</v>
      </c>
      <c r="F5" s="1">
        <v>2.64</v>
      </c>
      <c r="G5" s="1">
        <v>135</v>
      </c>
      <c r="H5" s="1">
        <v>1380</v>
      </c>
      <c r="I5" s="1">
        <v>306</v>
      </c>
      <c r="J5" s="1">
        <v>361</v>
      </c>
      <c r="K5" s="1">
        <v>9.0300000000000005E-2</v>
      </c>
      <c r="L5" s="1">
        <v>18.5</v>
      </c>
      <c r="M5" s="1">
        <v>1.28</v>
      </c>
      <c r="N5" s="1">
        <v>14</v>
      </c>
      <c r="O5" s="1">
        <v>1.59</v>
      </c>
      <c r="S5" s="6"/>
      <c r="T5" s="29"/>
      <c r="U5" s="29"/>
    </row>
    <row r="6" spans="1:21" x14ac:dyDescent="0.3">
      <c r="B6" t="s">
        <v>11</v>
      </c>
      <c r="C6" s="1">
        <v>59.1</v>
      </c>
      <c r="D6" s="1">
        <v>0.88400000000000001</v>
      </c>
      <c r="E6" s="1">
        <v>0.247</v>
      </c>
      <c r="F6" s="1">
        <v>2.66</v>
      </c>
      <c r="G6" s="1">
        <v>75.5</v>
      </c>
      <c r="H6" s="1">
        <v>1440</v>
      </c>
      <c r="I6" s="1">
        <v>306</v>
      </c>
      <c r="J6" s="1">
        <v>391</v>
      </c>
      <c r="K6" s="1">
        <v>2.86</v>
      </c>
      <c r="L6" s="1">
        <v>18.5</v>
      </c>
      <c r="M6" s="1">
        <v>1.56</v>
      </c>
      <c r="N6" s="1">
        <v>14.5</v>
      </c>
      <c r="O6" s="1">
        <v>1.93</v>
      </c>
      <c r="S6" s="6"/>
      <c r="T6" s="29"/>
      <c r="U6" s="29"/>
    </row>
    <row r="7" spans="1:21" x14ac:dyDescent="0.3">
      <c r="B7" t="s">
        <v>12</v>
      </c>
      <c r="C7" s="1">
        <v>53.8</v>
      </c>
      <c r="D7" s="1">
        <v>0.88400000000000001</v>
      </c>
      <c r="E7" s="1">
        <v>0.223</v>
      </c>
      <c r="F7" s="1">
        <v>2.66</v>
      </c>
      <c r="G7" s="1">
        <v>26.9</v>
      </c>
      <c r="H7" s="1">
        <v>1450</v>
      </c>
      <c r="I7" s="1">
        <v>122</v>
      </c>
      <c r="J7" s="1">
        <v>766</v>
      </c>
      <c r="K7" s="1">
        <v>5.63</v>
      </c>
      <c r="L7" s="1">
        <v>2.83</v>
      </c>
      <c r="M7" s="1">
        <v>1.8</v>
      </c>
      <c r="N7" s="1">
        <v>15</v>
      </c>
      <c r="O7" s="1">
        <v>1.92</v>
      </c>
      <c r="S7" s="6"/>
      <c r="T7" s="29"/>
      <c r="U7" s="29"/>
    </row>
    <row r="8" spans="1:21" x14ac:dyDescent="0.3">
      <c r="B8" t="s">
        <v>18</v>
      </c>
      <c r="C8" s="1">
        <v>53.7</v>
      </c>
      <c r="D8" s="1">
        <v>0.88400000000000001</v>
      </c>
      <c r="E8" s="1">
        <v>0.223</v>
      </c>
      <c r="F8" s="1">
        <v>2.66</v>
      </c>
      <c r="G8" s="1">
        <v>39.1</v>
      </c>
      <c r="H8" s="1">
        <v>1450</v>
      </c>
      <c r="I8" s="1">
        <v>122</v>
      </c>
      <c r="J8" s="1">
        <v>766</v>
      </c>
      <c r="K8" s="1">
        <v>5.63</v>
      </c>
      <c r="L8" s="1">
        <v>2.83</v>
      </c>
      <c r="M8" s="1">
        <v>1.8</v>
      </c>
      <c r="N8" s="1">
        <v>16.100000000000001</v>
      </c>
      <c r="O8" s="1">
        <v>2.0099999999999998</v>
      </c>
      <c r="T8" s="29"/>
      <c r="U8" s="29"/>
    </row>
    <row r="9" spans="1:21" x14ac:dyDescent="0.3">
      <c r="A9" t="s">
        <v>20</v>
      </c>
      <c r="B9" t="s">
        <v>10</v>
      </c>
      <c r="C9" s="1">
        <v>51.2</v>
      </c>
      <c r="D9" s="1">
        <v>0.35099999999999998</v>
      </c>
      <c r="E9" s="1">
        <v>0.379</v>
      </c>
      <c r="F9" s="1">
        <v>1.47</v>
      </c>
      <c r="G9" s="1">
        <v>64.8</v>
      </c>
      <c r="H9" s="1">
        <v>1140</v>
      </c>
      <c r="I9" s="1">
        <v>163</v>
      </c>
      <c r="J9" s="1">
        <v>297</v>
      </c>
      <c r="K9" s="1">
        <v>0.23</v>
      </c>
      <c r="L9" s="1">
        <v>2.76</v>
      </c>
      <c r="M9" s="1">
        <v>0.81799999999999995</v>
      </c>
      <c r="N9" s="1">
        <v>13.2</v>
      </c>
      <c r="O9" s="1">
        <v>1.37</v>
      </c>
      <c r="T9" s="29"/>
      <c r="U9" s="29"/>
    </row>
    <row r="10" spans="1:21" x14ac:dyDescent="0.3">
      <c r="B10" t="s">
        <v>11</v>
      </c>
      <c r="C10" s="1">
        <v>53.2</v>
      </c>
      <c r="D10" s="1">
        <v>0.35099999999999998</v>
      </c>
      <c r="E10" s="1">
        <v>0.47499999999999998</v>
      </c>
      <c r="F10" s="1">
        <v>1.52</v>
      </c>
      <c r="G10" s="1">
        <v>40.9</v>
      </c>
      <c r="H10" s="1">
        <v>1230</v>
      </c>
      <c r="I10" s="1">
        <v>163</v>
      </c>
      <c r="J10" s="1">
        <v>306</v>
      </c>
      <c r="K10" s="1">
        <v>2.31</v>
      </c>
      <c r="L10" s="1">
        <v>2.76</v>
      </c>
      <c r="M10" s="1">
        <v>1.1499999999999999</v>
      </c>
      <c r="N10" s="1">
        <v>13.5</v>
      </c>
      <c r="O10" s="1">
        <v>1.96</v>
      </c>
      <c r="T10" s="29"/>
      <c r="U10" s="29"/>
    </row>
    <row r="11" spans="1:21" x14ac:dyDescent="0.3">
      <c r="B11" t="s">
        <v>12</v>
      </c>
      <c r="C11" s="1">
        <v>54.8</v>
      </c>
      <c r="D11" s="1">
        <v>0.35099999999999998</v>
      </c>
      <c r="E11" s="1">
        <v>0.378</v>
      </c>
      <c r="F11" s="1">
        <v>1.52</v>
      </c>
      <c r="G11" s="1">
        <v>20.3</v>
      </c>
      <c r="H11" s="1">
        <v>1300</v>
      </c>
      <c r="I11" s="1">
        <v>65.099999999999994</v>
      </c>
      <c r="J11" s="1">
        <v>471</v>
      </c>
      <c r="K11" s="1">
        <v>4.4000000000000004</v>
      </c>
      <c r="L11" s="1">
        <v>2.76</v>
      </c>
      <c r="M11" s="1">
        <v>1.87</v>
      </c>
      <c r="N11" s="1">
        <v>13.8</v>
      </c>
      <c r="O11" s="1">
        <v>1.96</v>
      </c>
      <c r="T11" s="29"/>
      <c r="U11" s="29"/>
    </row>
    <row r="12" spans="1:21" x14ac:dyDescent="0.3">
      <c r="B12" t="s">
        <v>18</v>
      </c>
      <c r="C12" s="1">
        <v>54.8</v>
      </c>
      <c r="D12" s="1">
        <v>0.35099999999999998</v>
      </c>
      <c r="E12" s="1">
        <v>0.378</v>
      </c>
      <c r="F12" s="1">
        <v>1.52</v>
      </c>
      <c r="G12" s="1">
        <v>32.799999999999997</v>
      </c>
      <c r="H12" s="1">
        <v>1300</v>
      </c>
      <c r="I12" s="1">
        <v>65.099999999999994</v>
      </c>
      <c r="J12" s="1">
        <v>471</v>
      </c>
      <c r="K12" s="1">
        <v>4.4000000000000004</v>
      </c>
      <c r="L12" s="1">
        <v>2.76</v>
      </c>
      <c r="M12" s="1">
        <v>1.87</v>
      </c>
      <c r="N12" s="1">
        <v>14.5</v>
      </c>
      <c r="O12" s="1">
        <v>2.0499999999999998</v>
      </c>
      <c r="P12" s="1"/>
      <c r="R12" s="1"/>
      <c r="T12" s="29"/>
      <c r="U12" s="29"/>
    </row>
    <row r="13" spans="1:21" x14ac:dyDescent="0.3">
      <c r="A13" t="s">
        <v>44</v>
      </c>
      <c r="B13" t="s">
        <v>10</v>
      </c>
      <c r="C13" s="1">
        <v>63.2</v>
      </c>
      <c r="D13" s="1">
        <v>0.28899999999999998</v>
      </c>
      <c r="E13" s="1">
        <v>0.189</v>
      </c>
      <c r="F13" s="1">
        <v>0.67700000000000005</v>
      </c>
      <c r="G13" s="1">
        <v>45.8</v>
      </c>
      <c r="H13" s="1">
        <v>1190</v>
      </c>
      <c r="I13" s="1">
        <v>118</v>
      </c>
      <c r="J13" s="1">
        <v>235</v>
      </c>
      <c r="K13" s="1">
        <v>0.85299999999999998</v>
      </c>
      <c r="L13" s="1">
        <v>5.7</v>
      </c>
      <c r="M13" s="1">
        <v>1.01</v>
      </c>
      <c r="N13" s="1">
        <v>19.5</v>
      </c>
      <c r="O13" s="1">
        <v>1.98</v>
      </c>
      <c r="T13" s="29"/>
      <c r="U13" s="29"/>
    </row>
    <row r="14" spans="1:21" x14ac:dyDescent="0.3">
      <c r="B14" t="s">
        <v>11</v>
      </c>
      <c r="C14" s="1">
        <v>63.2</v>
      </c>
      <c r="D14" s="1">
        <v>0.28899999999999998</v>
      </c>
      <c r="E14" s="1">
        <v>0.192</v>
      </c>
      <c r="F14" s="1">
        <v>0.67700000000000005</v>
      </c>
      <c r="G14" s="1">
        <v>27.5</v>
      </c>
      <c r="H14" s="1">
        <v>1290</v>
      </c>
      <c r="I14" s="1">
        <v>118</v>
      </c>
      <c r="J14" s="1">
        <v>235</v>
      </c>
      <c r="K14" s="1">
        <v>4.12</v>
      </c>
      <c r="L14" s="1">
        <v>5.7</v>
      </c>
      <c r="M14" s="1">
        <v>1.33</v>
      </c>
      <c r="N14" s="1">
        <v>19.899999999999999</v>
      </c>
      <c r="O14" s="1">
        <v>4.59</v>
      </c>
      <c r="T14" s="29"/>
      <c r="U14" s="29"/>
    </row>
    <row r="15" spans="1:21" x14ac:dyDescent="0.3">
      <c r="B15" t="s">
        <v>12</v>
      </c>
      <c r="C15" s="1">
        <v>78.2</v>
      </c>
      <c r="D15" s="1">
        <v>0.28899999999999998</v>
      </c>
      <c r="E15" s="1">
        <v>6.96</v>
      </c>
      <c r="F15" s="1">
        <v>0.68200000000000005</v>
      </c>
      <c r="G15" s="1">
        <v>9.86</v>
      </c>
      <c r="H15" s="1">
        <v>1590</v>
      </c>
      <c r="I15" s="1">
        <v>22.4</v>
      </c>
      <c r="J15" s="1">
        <v>178</v>
      </c>
      <c r="K15" s="1">
        <v>7.4</v>
      </c>
      <c r="L15" s="1">
        <v>5.54</v>
      </c>
      <c r="M15" s="1">
        <v>2.0699999999999998</v>
      </c>
      <c r="N15" s="1">
        <v>14</v>
      </c>
      <c r="O15" s="1">
        <v>4.8</v>
      </c>
      <c r="S15" s="5"/>
      <c r="T15" s="29"/>
      <c r="U15" s="29"/>
    </row>
    <row r="16" spans="1:21" x14ac:dyDescent="0.3">
      <c r="B16" t="s">
        <v>18</v>
      </c>
      <c r="C16" s="1">
        <v>78.099999999999994</v>
      </c>
      <c r="D16" s="1">
        <v>0.28899999999999998</v>
      </c>
      <c r="E16" s="1">
        <v>6.96</v>
      </c>
      <c r="F16" s="1">
        <v>0.68200000000000005</v>
      </c>
      <c r="G16" s="1">
        <v>9.86</v>
      </c>
      <c r="H16" s="1">
        <v>1590</v>
      </c>
      <c r="I16" s="1">
        <v>22.4</v>
      </c>
      <c r="J16" s="1">
        <v>178</v>
      </c>
      <c r="K16" s="1">
        <v>7.4</v>
      </c>
      <c r="L16" s="1">
        <v>5.54</v>
      </c>
      <c r="M16" s="1">
        <v>2.0699999999999998</v>
      </c>
      <c r="N16" s="1">
        <v>7.94</v>
      </c>
      <c r="O16" s="1">
        <v>4.7300000000000004</v>
      </c>
      <c r="P16" s="1"/>
      <c r="S16" s="5"/>
      <c r="T16" s="29"/>
      <c r="U16" s="29"/>
    </row>
    <row r="17" spans="1:19" x14ac:dyDescent="0.3">
      <c r="O17" s="1"/>
      <c r="S17" s="5"/>
    </row>
    <row r="19" spans="1:19" x14ac:dyDescent="0.3">
      <c r="A19" s="8" t="s">
        <v>47</v>
      </c>
      <c r="B19" s="9" t="s">
        <v>170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S19" s="5"/>
    </row>
    <row r="20" spans="1:19" x14ac:dyDescent="0.3">
      <c r="B20" t="s">
        <v>0</v>
      </c>
      <c r="C20" t="s">
        <v>15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16</v>
      </c>
      <c r="J20" t="s">
        <v>86</v>
      </c>
      <c r="K20" t="s">
        <v>6</v>
      </c>
      <c r="L20" t="s">
        <v>7</v>
      </c>
      <c r="M20" t="s">
        <v>17</v>
      </c>
      <c r="N20" t="s">
        <v>9</v>
      </c>
      <c r="O20" t="s">
        <v>87</v>
      </c>
      <c r="P20" t="s">
        <v>22</v>
      </c>
      <c r="S20" s="5"/>
    </row>
    <row r="21" spans="1:19" x14ac:dyDescent="0.3"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S21" s="5"/>
    </row>
    <row r="22" spans="1:19" x14ac:dyDescent="0.3">
      <c r="A22" t="s">
        <v>21</v>
      </c>
      <c r="B22" t="s">
        <v>10</v>
      </c>
      <c r="C22" s="7">
        <v>5968222.1011064705</v>
      </c>
      <c r="D22" s="7">
        <v>81740.930729537591</v>
      </c>
      <c r="E22" s="7">
        <v>13926.164149868</v>
      </c>
      <c r="F22" s="7">
        <v>244015.2107751921</v>
      </c>
      <c r="G22" s="7">
        <v>12446887.200668659</v>
      </c>
      <c r="H22" s="7">
        <v>127869509.6644053</v>
      </c>
      <c r="I22" s="7">
        <v>28312434.020747669</v>
      </c>
      <c r="J22" s="7">
        <v>33428766.499106202</v>
      </c>
      <c r="K22" s="7">
        <v>8348.5292702802635</v>
      </c>
      <c r="L22" s="7">
        <v>1713470.9878785319</v>
      </c>
      <c r="M22" s="7">
        <v>118549.29679163281</v>
      </c>
      <c r="N22" s="7">
        <v>1292579.2264586689</v>
      </c>
      <c r="O22" s="7">
        <v>146703.5289729347</v>
      </c>
      <c r="S22" s="5"/>
    </row>
    <row r="23" spans="1:19" x14ac:dyDescent="0.3">
      <c r="B23" t="s">
        <v>11</v>
      </c>
      <c r="C23" s="7">
        <v>3792086.0963077303</v>
      </c>
      <c r="D23" s="7">
        <v>56730.660564671867</v>
      </c>
      <c r="E23" s="7">
        <v>15876.93257202329</v>
      </c>
      <c r="F23" s="7">
        <v>170796.74323465559</v>
      </c>
      <c r="G23" s="7">
        <v>4844764.6234758822</v>
      </c>
      <c r="H23" s="7">
        <v>92555388.275657684</v>
      </c>
      <c r="I23" s="7">
        <v>19649679.418322269</v>
      </c>
      <c r="J23" s="7">
        <v>25085749.993503682</v>
      </c>
      <c r="K23" s="7">
        <v>183603.94305668131</v>
      </c>
      <c r="L23" s="7">
        <v>1189200.3202457291</v>
      </c>
      <c r="M23" s="7">
        <v>100287.5637984488</v>
      </c>
      <c r="N23" s="7">
        <v>928101.51455330243</v>
      </c>
      <c r="O23" s="7">
        <v>123832.2194997067</v>
      </c>
      <c r="S23" s="5"/>
    </row>
    <row r="24" spans="1:19" x14ac:dyDescent="0.3">
      <c r="B24" t="s">
        <v>12</v>
      </c>
      <c r="C24" s="7">
        <v>6174535.92779285</v>
      </c>
      <c r="D24" s="7">
        <v>101513.0052479803</v>
      </c>
      <c r="E24" s="7">
        <v>25643.55591140264</v>
      </c>
      <c r="F24" s="7">
        <v>305621.16710332432</v>
      </c>
      <c r="G24" s="7">
        <v>3084344.7998839659</v>
      </c>
      <c r="H24" s="7">
        <v>166571546.8143957</v>
      </c>
      <c r="I24" s="7">
        <v>14064338.331913522</v>
      </c>
      <c r="J24" s="7">
        <v>87992797.419970959</v>
      </c>
      <c r="K24" s="7">
        <v>646708.4315548928</v>
      </c>
      <c r="L24" s="7">
        <v>325496.36365847744</v>
      </c>
      <c r="M24" s="7">
        <v>206784.78609684869</v>
      </c>
      <c r="N24" s="7">
        <v>1725099.240679112</v>
      </c>
      <c r="O24" s="7">
        <v>220402.87955134778</v>
      </c>
      <c r="S24" s="5"/>
    </row>
    <row r="25" spans="1:19" x14ac:dyDescent="0.3">
      <c r="B25" t="s">
        <v>18</v>
      </c>
      <c r="C25" s="7">
        <v>2892980.541449829</v>
      </c>
      <c r="D25" s="7">
        <v>47575.593824093579</v>
      </c>
      <c r="E25" s="7">
        <v>12018.23743929205</v>
      </c>
      <c r="F25" s="7">
        <v>143233.94795212679</v>
      </c>
      <c r="G25" s="7">
        <v>2101991.996654572</v>
      </c>
      <c r="H25" s="7">
        <v>78066255.988912791</v>
      </c>
      <c r="I25" s="7">
        <v>6591463.2932912754</v>
      </c>
      <c r="J25" s="7">
        <v>41239145.459951632</v>
      </c>
      <c r="K25" s="7">
        <v>303089.61484404805</v>
      </c>
      <c r="L25" s="7">
        <v>152548.7571844226</v>
      </c>
      <c r="M25" s="7">
        <v>96912.794260334253</v>
      </c>
      <c r="N25" s="7">
        <v>864509.61435397179</v>
      </c>
      <c r="O25" s="7">
        <v>108229.32908860011</v>
      </c>
      <c r="S25" s="5"/>
    </row>
    <row r="26" spans="1:19" x14ac:dyDescent="0.3">
      <c r="A26" t="s">
        <v>20</v>
      </c>
      <c r="B26" t="s">
        <v>10</v>
      </c>
      <c r="C26" s="7">
        <v>3191676.8752633682</v>
      </c>
      <c r="D26" s="7">
        <v>21895.639953250138</v>
      </c>
      <c r="E26" s="7">
        <v>23581.034364882711</v>
      </c>
      <c r="F26" s="7">
        <v>91553.096686647696</v>
      </c>
      <c r="G26" s="7">
        <v>4034627.784694138</v>
      </c>
      <c r="H26" s="7">
        <v>71283115.916696161</v>
      </c>
      <c r="I26" s="7">
        <v>10145438.37848248</v>
      </c>
      <c r="J26" s="7">
        <v>18511534.212419659</v>
      </c>
      <c r="K26" s="7">
        <v>14354.469289834069</v>
      </c>
      <c r="L26" s="7">
        <v>172088.0791553655</v>
      </c>
      <c r="M26" s="7">
        <v>50972.603111941586</v>
      </c>
      <c r="N26" s="7">
        <v>823466.9005055523</v>
      </c>
      <c r="O26" s="7">
        <v>85598.59835845702</v>
      </c>
    </row>
    <row r="27" spans="1:19" x14ac:dyDescent="0.3">
      <c r="B27" t="s">
        <v>11</v>
      </c>
      <c r="C27" s="7">
        <v>4275552.2200831957</v>
      </c>
      <c r="D27" s="7">
        <v>28256.450994202671</v>
      </c>
      <c r="E27" s="7">
        <v>38219.032267245821</v>
      </c>
      <c r="F27" s="7">
        <v>122215.79262608179</v>
      </c>
      <c r="G27" s="7">
        <v>3284808.6993065793</v>
      </c>
      <c r="H27" s="7">
        <v>98529731.897481412</v>
      </c>
      <c r="I27" s="7">
        <v>13092747.36743832</v>
      </c>
      <c r="J27" s="7">
        <v>24615086.830572359</v>
      </c>
      <c r="K27" s="7">
        <v>186007.00307542153</v>
      </c>
      <c r="L27" s="7">
        <v>222080.66928951591</v>
      </c>
      <c r="M27" s="7">
        <v>92077.12315840229</v>
      </c>
      <c r="N27" s="7">
        <v>1083436.418633471</v>
      </c>
      <c r="O27" s="7">
        <v>157659.4651217545</v>
      </c>
    </row>
    <row r="28" spans="1:19" x14ac:dyDescent="0.3">
      <c r="B28" t="s">
        <v>12</v>
      </c>
      <c r="C28" s="7">
        <v>11422382.26138459</v>
      </c>
      <c r="D28" s="7">
        <v>73230.981395699258</v>
      </c>
      <c r="E28" s="7">
        <v>78771.264783404753</v>
      </c>
      <c r="F28" s="7">
        <v>316741.20850836829</v>
      </c>
      <c r="G28" s="7">
        <v>4230182.0410315096</v>
      </c>
      <c r="H28" s="7">
        <v>271778601.85292751</v>
      </c>
      <c r="I28" s="7">
        <v>13572755.31930775</v>
      </c>
      <c r="J28" s="7">
        <v>98118194.640798196</v>
      </c>
      <c r="K28" s="7">
        <v>916122.88918694924</v>
      </c>
      <c r="L28" s="7">
        <v>575556.54687213432</v>
      </c>
      <c r="M28" s="7">
        <v>389894.03817587328</v>
      </c>
      <c r="N28" s="7">
        <v>2884136.9084022697</v>
      </c>
      <c r="O28" s="7">
        <v>407714.75463844708</v>
      </c>
    </row>
    <row r="29" spans="1:19" x14ac:dyDescent="0.3">
      <c r="B29" t="s">
        <v>18</v>
      </c>
      <c r="C29" s="7">
        <v>3515437.4734657467</v>
      </c>
      <c r="D29" s="7">
        <v>22544.223684852059</v>
      </c>
      <c r="E29" s="7">
        <v>24249.804923686021</v>
      </c>
      <c r="F29" s="7">
        <v>97509.066773784609</v>
      </c>
      <c r="G29" s="7">
        <v>2105977.6049035201</v>
      </c>
      <c r="H29" s="7">
        <v>83667287.753821909</v>
      </c>
      <c r="I29" s="7">
        <v>4178384.9691274152</v>
      </c>
      <c r="J29" s="7">
        <v>30205774.733286791</v>
      </c>
      <c r="K29" s="7">
        <v>282029.25787713774</v>
      </c>
      <c r="L29" s="7">
        <v>177185.60216821628</v>
      </c>
      <c r="M29" s="7">
        <v>120029.2313786108</v>
      </c>
      <c r="N29" s="7">
        <v>930346.69551398931</v>
      </c>
      <c r="O29" s="7">
        <v>131700.49770465211</v>
      </c>
    </row>
    <row r="30" spans="1:19" x14ac:dyDescent="0.3">
      <c r="A30" t="s">
        <v>19</v>
      </c>
      <c r="B30" t="s">
        <v>10</v>
      </c>
      <c r="C30" s="7">
        <v>4206599.0306862462</v>
      </c>
      <c r="D30" s="7">
        <v>19253.406511261481</v>
      </c>
      <c r="E30" s="7">
        <v>12544.707847330061</v>
      </c>
      <c r="F30" s="7">
        <v>45045.927952950435</v>
      </c>
      <c r="G30" s="7">
        <v>3046532.5674400986</v>
      </c>
      <c r="H30" s="7">
        <v>79213925.446280569</v>
      </c>
      <c r="I30" s="7">
        <v>7836583.7636810169</v>
      </c>
      <c r="J30" s="7">
        <v>15655316.887756219</v>
      </c>
      <c r="K30" s="7">
        <v>56760.418263850072</v>
      </c>
      <c r="L30" s="7">
        <v>379275.8918246493</v>
      </c>
      <c r="M30" s="7">
        <v>67249.576185596437</v>
      </c>
      <c r="N30" s="7">
        <v>1293829.5545445019</v>
      </c>
      <c r="O30" s="7">
        <v>131543.76741575659</v>
      </c>
    </row>
    <row r="31" spans="1:19" x14ac:dyDescent="0.3">
      <c r="B31" t="s">
        <v>11</v>
      </c>
      <c r="C31" s="7">
        <v>3749776.067591243</v>
      </c>
      <c r="D31" s="7">
        <v>17182.229468733069</v>
      </c>
      <c r="E31" s="7">
        <v>11397.67268019061</v>
      </c>
      <c r="F31" s="7">
        <v>40200.131351659722</v>
      </c>
      <c r="G31" s="7">
        <v>1629318.4889619411</v>
      </c>
      <c r="H31" s="7">
        <v>76311711.843616292</v>
      </c>
      <c r="I31" s="7">
        <v>6993566.5878013391</v>
      </c>
      <c r="J31" s="7">
        <v>13963430.016886922</v>
      </c>
      <c r="K31" s="7">
        <v>244814.9865846746</v>
      </c>
      <c r="L31" s="7">
        <v>338475.44856427191</v>
      </c>
      <c r="M31" s="7">
        <v>78718.55470876467</v>
      </c>
      <c r="N31" s="7">
        <v>1183935.624990891</v>
      </c>
      <c r="O31" s="7">
        <v>272608.43491274951</v>
      </c>
    </row>
    <row r="32" spans="1:19" x14ac:dyDescent="0.3">
      <c r="B32" t="s">
        <v>12</v>
      </c>
      <c r="C32" s="7">
        <v>7913953.7221215488</v>
      </c>
      <c r="D32" s="7">
        <v>29314.643885129299</v>
      </c>
      <c r="E32" s="7">
        <v>704507.06552116014</v>
      </c>
      <c r="F32" s="7">
        <v>69108.073687523836</v>
      </c>
      <c r="G32" s="7">
        <v>998644.16523083649</v>
      </c>
      <c r="H32" s="7">
        <v>161126333.6442703</v>
      </c>
      <c r="I32" s="7">
        <v>2264944.7856795103</v>
      </c>
      <c r="J32" s="7">
        <v>17990593.446514029</v>
      </c>
      <c r="K32" s="7">
        <v>748937.23446751153</v>
      </c>
      <c r="L32" s="7">
        <v>560835.42948783468</v>
      </c>
      <c r="M32" s="7">
        <v>209839.1244683743</v>
      </c>
      <c r="N32" s="7">
        <v>1414732.0979797221</v>
      </c>
      <c r="O32" s="7">
        <v>486428.84451934928</v>
      </c>
    </row>
    <row r="33" spans="1:35" x14ac:dyDescent="0.3">
      <c r="B33" t="s">
        <v>18</v>
      </c>
      <c r="C33" s="7">
        <v>5626348.3952637836</v>
      </c>
      <c r="D33" s="7">
        <v>20846.232695901723</v>
      </c>
      <c r="E33" s="7">
        <v>500989.13980705146</v>
      </c>
      <c r="F33" s="7">
        <v>49144.140754391083</v>
      </c>
      <c r="G33" s="7">
        <v>710155.94562167092</v>
      </c>
      <c r="H33" s="7">
        <v>114580175.6196616</v>
      </c>
      <c r="I33" s="7">
        <v>1610647.7783138221</v>
      </c>
      <c r="J33" s="7">
        <v>12793472.73645865</v>
      </c>
      <c r="K33" s="7">
        <v>532584.32630166574</v>
      </c>
      <c r="L33" s="7">
        <v>398821.35061992507</v>
      </c>
      <c r="M33" s="7">
        <v>149220.82064217172</v>
      </c>
      <c r="N33" s="7">
        <v>571525.31838811375</v>
      </c>
      <c r="O33" s="7">
        <v>340291.34916337871</v>
      </c>
      <c r="Q33" s="1"/>
    </row>
    <row r="34" spans="1:35" x14ac:dyDescent="0.3">
      <c r="A34" t="s">
        <v>22</v>
      </c>
      <c r="P34" s="16">
        <f>SUM(C22:O33)</f>
        <v>2108008556.2059286</v>
      </c>
    </row>
    <row r="35" spans="1:35" x14ac:dyDescent="0.3">
      <c r="P35" s="16"/>
    </row>
    <row r="37" spans="1:35" x14ac:dyDescent="0.3">
      <c r="A37" s="8" t="s">
        <v>37</v>
      </c>
      <c r="B37" s="9" t="s">
        <v>57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35" ht="69" customHeight="1" x14ac:dyDescent="0.3">
      <c r="B38" t="s">
        <v>0</v>
      </c>
      <c r="C38" s="3" t="s">
        <v>43</v>
      </c>
      <c r="D38" s="3" t="s">
        <v>172</v>
      </c>
      <c r="E38" s="3" t="s">
        <v>171</v>
      </c>
      <c r="F38" s="15" t="s">
        <v>173</v>
      </c>
      <c r="H38" s="3"/>
      <c r="J38" s="3"/>
      <c r="K38" s="3"/>
      <c r="L38" s="3"/>
      <c r="M38" s="3"/>
    </row>
    <row r="39" spans="1:35" x14ac:dyDescent="0.3">
      <c r="A39" t="s">
        <v>21</v>
      </c>
      <c r="B39">
        <v>2019</v>
      </c>
      <c r="C39">
        <f>10200+7600</f>
        <v>17800</v>
      </c>
      <c r="D39">
        <f>3300000+1600000</f>
        <v>4900000</v>
      </c>
      <c r="E39">
        <f>(0.67+0.75)/2</f>
        <v>0.71</v>
      </c>
      <c r="F39" s="14">
        <f>D39*E39</f>
        <v>3479000</v>
      </c>
      <c r="H39" s="2"/>
    </row>
    <row r="40" spans="1:35" x14ac:dyDescent="0.3">
      <c r="A40" t="s">
        <v>20</v>
      </c>
      <c r="B40">
        <v>2019</v>
      </c>
      <c r="C40">
        <v>25800</v>
      </c>
      <c r="D40">
        <v>4600000</v>
      </c>
      <c r="E40">
        <v>0.69</v>
      </c>
      <c r="F40" s="14">
        <f t="shared" ref="F40:F41" si="0">D40*E40</f>
        <v>3173999.9999999995</v>
      </c>
    </row>
    <row r="41" spans="1:35" x14ac:dyDescent="0.3">
      <c r="A41" t="s">
        <v>19</v>
      </c>
      <c r="B41">
        <v>2019</v>
      </c>
      <c r="C41">
        <v>27900</v>
      </c>
      <c r="D41">
        <v>2100000</v>
      </c>
      <c r="E41">
        <v>0.92</v>
      </c>
      <c r="F41" s="14">
        <f t="shared" si="0"/>
        <v>1932000</v>
      </c>
      <c r="H41" s="4"/>
    </row>
    <row r="44" spans="1:35" x14ac:dyDescent="0.3">
      <c r="A44" s="8" t="s">
        <v>38</v>
      </c>
      <c r="B44" s="9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35" x14ac:dyDescent="0.3">
      <c r="B45" t="s">
        <v>0</v>
      </c>
      <c r="C45" t="s">
        <v>15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16</v>
      </c>
      <c r="J45" t="s">
        <v>86</v>
      </c>
      <c r="K45" t="s">
        <v>6</v>
      </c>
      <c r="L45" t="s">
        <v>7</v>
      </c>
      <c r="M45" t="s">
        <v>17</v>
      </c>
      <c r="N45" t="s">
        <v>9</v>
      </c>
      <c r="O45" t="s">
        <v>87</v>
      </c>
      <c r="P45" t="s">
        <v>174</v>
      </c>
    </row>
    <row r="46" spans="1:35" x14ac:dyDescent="0.3"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</row>
    <row r="47" spans="1:35" x14ac:dyDescent="0.3">
      <c r="A47" t="s">
        <v>21</v>
      </c>
      <c r="B47" t="s">
        <v>10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 x14ac:dyDescent="0.3">
      <c r="B48" t="s">
        <v>11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98" x14ac:dyDescent="0.3">
      <c r="B49" t="s">
        <v>12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 spans="1:98" x14ac:dyDescent="0.3">
      <c r="B50" t="s">
        <v>18</v>
      </c>
      <c r="C50" s="16">
        <f>$F$39*C8/1000</f>
        <v>186822.3</v>
      </c>
      <c r="D50" s="16">
        <f t="shared" ref="D50:O50" si="1">$F$39*D8/1000</f>
        <v>3075.4360000000001</v>
      </c>
      <c r="E50" s="16">
        <f t="shared" si="1"/>
        <v>775.81700000000001</v>
      </c>
      <c r="F50" s="16">
        <f t="shared" si="1"/>
        <v>9254.14</v>
      </c>
      <c r="G50" s="16">
        <f t="shared" si="1"/>
        <v>136028.9</v>
      </c>
      <c r="H50" s="16">
        <f t="shared" si="1"/>
        <v>5044550</v>
      </c>
      <c r="I50" s="16">
        <f t="shared" si="1"/>
        <v>424438</v>
      </c>
      <c r="J50" s="16">
        <f t="shared" si="1"/>
        <v>2664914</v>
      </c>
      <c r="K50" s="16">
        <f t="shared" si="1"/>
        <v>19586.77</v>
      </c>
      <c r="L50" s="16">
        <f t="shared" si="1"/>
        <v>9845.57</v>
      </c>
      <c r="M50" s="16">
        <f t="shared" si="1"/>
        <v>6262.2</v>
      </c>
      <c r="N50" s="16">
        <f t="shared" si="1"/>
        <v>56011.900000000009</v>
      </c>
      <c r="O50" s="16">
        <f t="shared" si="1"/>
        <v>6992.7899999999991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98" x14ac:dyDescent="0.3">
      <c r="A51" t="s">
        <v>20</v>
      </c>
      <c r="B51" t="s">
        <v>10</v>
      </c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W51" s="14"/>
      <c r="X51" s="14"/>
      <c r="Y51" s="14"/>
      <c r="Z51" s="14"/>
      <c r="AA51" s="14"/>
      <c r="AB51" s="16"/>
      <c r="AC51" s="14"/>
      <c r="AD51" s="14"/>
      <c r="AE51" s="14"/>
      <c r="AF51" s="14"/>
      <c r="AG51" s="14"/>
      <c r="AH51" s="14"/>
      <c r="AI51" s="14"/>
    </row>
    <row r="52" spans="1:98" x14ac:dyDescent="0.3">
      <c r="B52" t="s">
        <v>11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98" ht="14.4" customHeight="1" x14ac:dyDescent="0.3">
      <c r="B53" t="s">
        <v>12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98" x14ac:dyDescent="0.3">
      <c r="B54" t="s">
        <v>18</v>
      </c>
      <c r="C54" s="16">
        <f t="shared" ref="C54:O54" si="2">$F$40*C12/1000</f>
        <v>173935.19999999998</v>
      </c>
      <c r="D54" s="16">
        <f t="shared" si="2"/>
        <v>1114.0739999999998</v>
      </c>
      <c r="E54" s="16">
        <f t="shared" si="2"/>
        <v>1199.7719999999997</v>
      </c>
      <c r="F54" s="16">
        <f t="shared" si="2"/>
        <v>4824.4799999999987</v>
      </c>
      <c r="G54" s="16">
        <f t="shared" si="2"/>
        <v>104107.19999999997</v>
      </c>
      <c r="H54" s="16">
        <f t="shared" si="2"/>
        <v>4126199.9999999995</v>
      </c>
      <c r="I54" s="16">
        <f t="shared" si="2"/>
        <v>206627.39999999994</v>
      </c>
      <c r="J54" s="16">
        <f t="shared" si="2"/>
        <v>1494953.9999999998</v>
      </c>
      <c r="K54" s="16">
        <f t="shared" si="2"/>
        <v>13965.6</v>
      </c>
      <c r="L54" s="16">
        <f t="shared" si="2"/>
        <v>8760.239999999998</v>
      </c>
      <c r="M54" s="16">
        <f t="shared" si="2"/>
        <v>5935.3799999999992</v>
      </c>
      <c r="N54" s="16">
        <f t="shared" si="2"/>
        <v>46022.999999999993</v>
      </c>
      <c r="O54" s="16">
        <f t="shared" si="2"/>
        <v>6506.699999999998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98" x14ac:dyDescent="0.3">
      <c r="A55" t="s">
        <v>19</v>
      </c>
      <c r="B55" t="s">
        <v>10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S55" s="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98" x14ac:dyDescent="0.3">
      <c r="B56" t="s">
        <v>11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98" x14ac:dyDescent="0.3">
      <c r="B57" t="s">
        <v>12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R57" t="s">
        <v>132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98" x14ac:dyDescent="0.3">
      <c r="B58" t="s">
        <v>18</v>
      </c>
      <c r="C58" s="16">
        <f t="shared" ref="C58:O58" si="3">$F$41*C16/1000</f>
        <v>150889.20000000001</v>
      </c>
      <c r="D58" s="16">
        <f t="shared" si="3"/>
        <v>558.34799999999996</v>
      </c>
      <c r="E58" s="16">
        <f t="shared" si="3"/>
        <v>13446.72</v>
      </c>
      <c r="F58" s="16">
        <f t="shared" si="3"/>
        <v>1317.624</v>
      </c>
      <c r="G58" s="16">
        <f t="shared" si="3"/>
        <v>19049.52</v>
      </c>
      <c r="H58" s="16">
        <f t="shared" si="3"/>
        <v>3071880</v>
      </c>
      <c r="I58" s="16">
        <f t="shared" si="3"/>
        <v>43276.800000000003</v>
      </c>
      <c r="J58" s="16">
        <f t="shared" si="3"/>
        <v>343896</v>
      </c>
      <c r="K58" s="16">
        <f t="shared" si="3"/>
        <v>14296.8</v>
      </c>
      <c r="L58" s="16">
        <f t="shared" si="3"/>
        <v>10703.28</v>
      </c>
      <c r="M58" s="16">
        <f t="shared" si="3"/>
        <v>3999.2399999999993</v>
      </c>
      <c r="N58" s="16">
        <f t="shared" si="3"/>
        <v>15340.08</v>
      </c>
      <c r="O58" s="16">
        <f t="shared" si="3"/>
        <v>9138.36</v>
      </c>
      <c r="R58" t="s">
        <v>74</v>
      </c>
      <c r="S58" s="1">
        <v>14400000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98" x14ac:dyDescent="0.3">
      <c r="A59" t="s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6">
        <f>SUM(C50:O58)</f>
        <v>18460502.840999994</v>
      </c>
      <c r="R59" t="s">
        <v>75</v>
      </c>
      <c r="S59" s="1">
        <v>18000000</v>
      </c>
      <c r="AI59" s="4"/>
    </row>
    <row r="60" spans="1:98" x14ac:dyDescent="0.3">
      <c r="C60" s="1"/>
      <c r="D60" s="1"/>
      <c r="E60" s="1"/>
      <c r="F60" s="1"/>
      <c r="G60" s="34"/>
      <c r="H60" s="1"/>
      <c r="I60" s="1"/>
      <c r="J60" s="1"/>
      <c r="K60" s="1"/>
      <c r="L60" s="1"/>
      <c r="M60" s="1"/>
      <c r="N60" s="1"/>
      <c r="O60" s="1"/>
      <c r="P60" s="16"/>
      <c r="AI60" s="4"/>
    </row>
    <row r="62" spans="1:98" x14ac:dyDescent="0.3">
      <c r="A62" s="8" t="s">
        <v>40</v>
      </c>
      <c r="B62" s="9" t="s">
        <v>59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98" ht="72" customHeight="1" x14ac:dyDescent="0.3">
      <c r="B63" t="s">
        <v>0</v>
      </c>
      <c r="C63" s="3" t="s">
        <v>43</v>
      </c>
      <c r="D63" s="3" t="s">
        <v>58</v>
      </c>
      <c r="E63" s="3" t="s">
        <v>45</v>
      </c>
      <c r="F63" s="3"/>
      <c r="I63" s="11"/>
      <c r="J63" s="11"/>
      <c r="T63" s="19" t="s">
        <v>258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</row>
    <row r="64" spans="1:98" x14ac:dyDescent="0.3">
      <c r="A64" t="s">
        <v>21</v>
      </c>
      <c r="B64" t="s">
        <v>10</v>
      </c>
      <c r="C64">
        <v>500</v>
      </c>
      <c r="D64" s="14">
        <f>AVERAGE(U66:X66)</f>
        <v>183</v>
      </c>
      <c r="E64" s="17">
        <f>C64*D64</f>
        <v>91500</v>
      </c>
      <c r="F64" s="4"/>
      <c r="H64" s="17"/>
      <c r="I64" s="12"/>
      <c r="J64" s="13"/>
      <c r="Q64" s="4"/>
      <c r="T64" t="s">
        <v>23</v>
      </c>
      <c r="AG64" t="s">
        <v>24</v>
      </c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</row>
    <row r="65" spans="1:72" ht="28.8" x14ac:dyDescent="0.3">
      <c r="B65" t="s">
        <v>11</v>
      </c>
      <c r="C65">
        <v>500</v>
      </c>
      <c r="D65" s="14">
        <f>AVERAGE(Y66:AA66)</f>
        <v>126</v>
      </c>
      <c r="E65" s="17">
        <f t="shared" ref="E65:E75" si="4">C65*D65</f>
        <v>63000</v>
      </c>
      <c r="H65" s="14"/>
      <c r="I65" s="12"/>
      <c r="J65" s="13"/>
      <c r="Q65" s="4"/>
      <c r="T65" s="3" t="s">
        <v>22</v>
      </c>
      <c r="U65" s="3" t="s">
        <v>25</v>
      </c>
      <c r="V65" s="3" t="s">
        <v>26</v>
      </c>
      <c r="W65" s="3" t="s">
        <v>27</v>
      </c>
      <c r="X65" s="3" t="s">
        <v>28</v>
      </c>
      <c r="Y65" s="3" t="s">
        <v>29</v>
      </c>
      <c r="Z65" s="3" t="s">
        <v>30</v>
      </c>
      <c r="AA65" s="3" t="s">
        <v>31</v>
      </c>
      <c r="AB65" s="3" t="s">
        <v>32</v>
      </c>
      <c r="AC65" s="3" t="s">
        <v>33</v>
      </c>
      <c r="AD65" s="3" t="s">
        <v>34</v>
      </c>
      <c r="AE65" s="3" t="s">
        <v>35</v>
      </c>
      <c r="AF65" s="3" t="s">
        <v>36</v>
      </c>
      <c r="AG65" s="3" t="s">
        <v>22</v>
      </c>
      <c r="AH65" s="3" t="s">
        <v>25</v>
      </c>
      <c r="AI65" s="3" t="s">
        <v>26</v>
      </c>
      <c r="AJ65" s="3" t="s">
        <v>27</v>
      </c>
      <c r="AK65" s="3" t="s">
        <v>28</v>
      </c>
      <c r="AL65" s="3" t="s">
        <v>29</v>
      </c>
      <c r="AM65" s="3" t="s">
        <v>30</v>
      </c>
      <c r="AN65" s="3" t="s">
        <v>31</v>
      </c>
      <c r="AO65" s="3" t="s">
        <v>32</v>
      </c>
      <c r="AP65" s="3" t="s">
        <v>33</v>
      </c>
      <c r="AQ65" s="3" t="s">
        <v>34</v>
      </c>
      <c r="AR65" s="3" t="s">
        <v>35</v>
      </c>
      <c r="AS65" s="3" t="s">
        <v>36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1:72" x14ac:dyDescent="0.3">
      <c r="B66" t="s">
        <v>12</v>
      </c>
      <c r="C66">
        <v>200</v>
      </c>
      <c r="D66" s="17">
        <f>AVERAGE(AA66:AD66)</f>
        <v>137</v>
      </c>
      <c r="E66" s="17">
        <f t="shared" si="4"/>
        <v>27400</v>
      </c>
      <c r="H66" s="14"/>
      <c r="I66" s="12"/>
      <c r="J66" s="13"/>
      <c r="T66">
        <v>140</v>
      </c>
      <c r="U66">
        <v>235</v>
      </c>
      <c r="V66">
        <v>196</v>
      </c>
      <c r="W66">
        <v>154</v>
      </c>
      <c r="X66">
        <v>147</v>
      </c>
      <c r="Y66">
        <v>125</v>
      </c>
      <c r="Z66">
        <v>122</v>
      </c>
      <c r="AA66">
        <v>131</v>
      </c>
      <c r="AB66">
        <v>132</v>
      </c>
      <c r="AC66">
        <v>132</v>
      </c>
      <c r="AD66">
        <v>153</v>
      </c>
      <c r="AE66">
        <v>162</v>
      </c>
      <c r="AF66">
        <v>146</v>
      </c>
      <c r="AG66">
        <v>81</v>
      </c>
      <c r="AH66">
        <v>92</v>
      </c>
      <c r="AI66">
        <v>91</v>
      </c>
      <c r="AJ66">
        <v>87</v>
      </c>
      <c r="AK66">
        <v>83</v>
      </c>
      <c r="AL66">
        <v>73</v>
      </c>
      <c r="AM66">
        <v>74</v>
      </c>
      <c r="AN66">
        <v>79</v>
      </c>
      <c r="AO66">
        <v>73</v>
      </c>
      <c r="AP66">
        <v>76</v>
      </c>
      <c r="AQ66">
        <v>91</v>
      </c>
      <c r="AR66">
        <v>91</v>
      </c>
      <c r="AS66">
        <v>71</v>
      </c>
    </row>
    <row r="67" spans="1:72" x14ac:dyDescent="0.3">
      <c r="B67" t="s">
        <v>18</v>
      </c>
      <c r="C67">
        <v>0</v>
      </c>
      <c r="D67" s="17">
        <f>AVERAGE(AD66:AF66)</f>
        <v>153.66666666666666</v>
      </c>
      <c r="E67" s="17">
        <f t="shared" si="4"/>
        <v>0</v>
      </c>
      <c r="H67" s="14"/>
      <c r="I67" s="12"/>
      <c r="J67" s="13"/>
      <c r="T67" s="18"/>
    </row>
    <row r="68" spans="1:72" x14ac:dyDescent="0.3">
      <c r="A68" t="s">
        <v>20</v>
      </c>
      <c r="B68" t="s">
        <v>10</v>
      </c>
      <c r="C68">
        <v>800</v>
      </c>
      <c r="D68" s="14">
        <f>AVERAGE(U66:X66)</f>
        <v>183</v>
      </c>
      <c r="E68" s="17">
        <f t="shared" si="4"/>
        <v>146400</v>
      </c>
      <c r="H68" s="17"/>
      <c r="I68" s="12"/>
      <c r="J68" s="12"/>
      <c r="T68" s="18"/>
    </row>
    <row r="69" spans="1:72" x14ac:dyDescent="0.3">
      <c r="B69" t="s">
        <v>11</v>
      </c>
      <c r="C69">
        <v>2500</v>
      </c>
      <c r="D69" s="14">
        <f>AVERAGE(Y66:AA66)</f>
        <v>126</v>
      </c>
      <c r="E69" s="17">
        <f t="shared" si="4"/>
        <v>315000</v>
      </c>
      <c r="H69" s="14"/>
      <c r="I69" s="12"/>
      <c r="J69" s="12"/>
      <c r="T69" s="18"/>
    </row>
    <row r="70" spans="1:72" x14ac:dyDescent="0.3">
      <c r="B70" t="s">
        <v>12</v>
      </c>
      <c r="C70">
        <v>300</v>
      </c>
      <c r="D70" s="17">
        <f>AVERAGE(AA66:AD66)</f>
        <v>137</v>
      </c>
      <c r="E70" s="17">
        <f t="shared" si="4"/>
        <v>41100</v>
      </c>
      <c r="H70" s="14"/>
      <c r="I70" s="12"/>
      <c r="J70" s="12"/>
      <c r="T70" s="18"/>
    </row>
    <row r="71" spans="1:72" x14ac:dyDescent="0.3">
      <c r="B71" t="s">
        <v>18</v>
      </c>
      <c r="C71">
        <v>300</v>
      </c>
      <c r="D71" s="17">
        <f>AVERAGE(AD66:AF66)</f>
        <v>153.66666666666666</v>
      </c>
      <c r="E71" s="17">
        <f t="shared" si="4"/>
        <v>46100</v>
      </c>
      <c r="H71" s="14"/>
      <c r="I71" s="12"/>
      <c r="J71" s="12"/>
      <c r="T71" s="18"/>
    </row>
    <row r="72" spans="1:72" x14ac:dyDescent="0.3">
      <c r="A72" t="s">
        <v>19</v>
      </c>
      <c r="B72" t="s">
        <v>10</v>
      </c>
      <c r="C72">
        <v>700</v>
      </c>
      <c r="D72" s="17">
        <f>AVERAGE(AH66:AK66)</f>
        <v>88.25</v>
      </c>
      <c r="E72" s="17">
        <f t="shared" si="4"/>
        <v>61775</v>
      </c>
      <c r="H72" s="17"/>
      <c r="I72" s="13"/>
      <c r="J72" s="12"/>
      <c r="T72" s="18"/>
    </row>
    <row r="73" spans="1:72" x14ac:dyDescent="0.3">
      <c r="B73" t="s">
        <v>11</v>
      </c>
      <c r="C73">
        <v>3600</v>
      </c>
      <c r="D73" s="17">
        <f>AVERAGE(AL66:AN66)</f>
        <v>75.333333333333329</v>
      </c>
      <c r="E73" s="17">
        <f t="shared" si="4"/>
        <v>271200</v>
      </c>
      <c r="H73" s="17"/>
      <c r="I73" s="13"/>
      <c r="J73" s="12"/>
      <c r="T73" s="18"/>
    </row>
    <row r="74" spans="1:72" x14ac:dyDescent="0.3">
      <c r="B74" t="s">
        <v>12</v>
      </c>
      <c r="C74">
        <v>900</v>
      </c>
      <c r="D74" s="17">
        <f>AVERAGE(AN66:AQ66)</f>
        <v>79.75</v>
      </c>
      <c r="E74" s="17">
        <f t="shared" si="4"/>
        <v>71775</v>
      </c>
      <c r="H74" s="17"/>
      <c r="I74" s="13"/>
      <c r="J74" s="12"/>
      <c r="T74" s="18"/>
    </row>
    <row r="75" spans="1:72" x14ac:dyDescent="0.3">
      <c r="B75" t="s">
        <v>18</v>
      </c>
      <c r="C75">
        <v>500</v>
      </c>
      <c r="D75" s="17">
        <f>AVERAGE(AQ66:AS66)</f>
        <v>84.333333333333329</v>
      </c>
      <c r="E75" s="17">
        <f t="shared" si="4"/>
        <v>42166.666666666664</v>
      </c>
      <c r="H75" s="17"/>
      <c r="I75" s="13"/>
      <c r="J75" s="12"/>
      <c r="T75" s="18"/>
    </row>
    <row r="76" spans="1:72" x14ac:dyDescent="0.3">
      <c r="R76" s="1"/>
      <c r="T76" s="18"/>
    </row>
    <row r="77" spans="1:72" x14ac:dyDescent="0.3">
      <c r="T77" s="18"/>
    </row>
    <row r="78" spans="1:72" x14ac:dyDescent="0.3">
      <c r="A78" s="8" t="s">
        <v>46</v>
      </c>
      <c r="B78" s="9" t="s">
        <v>39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72" x14ac:dyDescent="0.3">
      <c r="B79" t="s">
        <v>0</v>
      </c>
      <c r="C79" t="s">
        <v>15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16</v>
      </c>
      <c r="J79" t="s">
        <v>86</v>
      </c>
      <c r="K79" t="s">
        <v>6</v>
      </c>
      <c r="L79" t="s">
        <v>7</v>
      </c>
      <c r="M79" t="s">
        <v>17</v>
      </c>
      <c r="N79" t="s">
        <v>9</v>
      </c>
      <c r="O79" t="s">
        <v>87</v>
      </c>
      <c r="P79" t="s">
        <v>22</v>
      </c>
    </row>
    <row r="80" spans="1:72" x14ac:dyDescent="0.3"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</row>
    <row r="81" spans="1:20" x14ac:dyDescent="0.3">
      <c r="A81" t="s">
        <v>21</v>
      </c>
      <c r="B81" t="s">
        <v>10</v>
      </c>
      <c r="C81" s="16">
        <f t="shared" ref="C81:O81" si="5">$E64*C5/1000</f>
        <v>5901.75</v>
      </c>
      <c r="D81" s="16">
        <f t="shared" si="5"/>
        <v>80.885999999999996</v>
      </c>
      <c r="E81" s="16">
        <f t="shared" si="5"/>
        <v>13.8165</v>
      </c>
      <c r="F81" s="16">
        <f t="shared" si="5"/>
        <v>241.56</v>
      </c>
      <c r="G81" s="16">
        <f t="shared" si="5"/>
        <v>12352.5</v>
      </c>
      <c r="H81" s="16">
        <f t="shared" si="5"/>
        <v>126270</v>
      </c>
      <c r="I81" s="16">
        <f t="shared" si="5"/>
        <v>27999</v>
      </c>
      <c r="J81" s="16">
        <f t="shared" si="5"/>
        <v>33031.5</v>
      </c>
      <c r="K81" s="16">
        <f t="shared" si="5"/>
        <v>8.2624500000000012</v>
      </c>
      <c r="L81" s="16">
        <f t="shared" si="5"/>
        <v>1692.75</v>
      </c>
      <c r="M81" s="16">
        <f t="shared" si="5"/>
        <v>117.12</v>
      </c>
      <c r="N81" s="16">
        <f t="shared" si="5"/>
        <v>1281</v>
      </c>
      <c r="O81" s="16">
        <f t="shared" si="5"/>
        <v>145.48500000000001</v>
      </c>
    </row>
    <row r="82" spans="1:20" x14ac:dyDescent="0.3">
      <c r="B82" t="s">
        <v>11</v>
      </c>
      <c r="C82" s="16">
        <f t="shared" ref="C82:O82" si="6">$E65*C6/1000</f>
        <v>3723.3</v>
      </c>
      <c r="D82" s="16">
        <f t="shared" si="6"/>
        <v>55.692</v>
      </c>
      <c r="E82" s="16">
        <f t="shared" si="6"/>
        <v>15.561</v>
      </c>
      <c r="F82" s="16">
        <f t="shared" si="6"/>
        <v>167.58</v>
      </c>
      <c r="G82" s="16">
        <f t="shared" si="6"/>
        <v>4756.5</v>
      </c>
      <c r="H82" s="16">
        <f t="shared" si="6"/>
        <v>90720</v>
      </c>
      <c r="I82" s="16">
        <f t="shared" si="6"/>
        <v>19278</v>
      </c>
      <c r="J82" s="16">
        <f t="shared" si="6"/>
        <v>24633</v>
      </c>
      <c r="K82" s="16">
        <f t="shared" si="6"/>
        <v>180.18</v>
      </c>
      <c r="L82" s="16">
        <f t="shared" si="6"/>
        <v>1165.5</v>
      </c>
      <c r="M82" s="16">
        <f t="shared" si="6"/>
        <v>98.28</v>
      </c>
      <c r="N82" s="16">
        <f t="shared" si="6"/>
        <v>913.5</v>
      </c>
      <c r="O82" s="16">
        <f t="shared" si="6"/>
        <v>121.59</v>
      </c>
    </row>
    <row r="83" spans="1:20" x14ac:dyDescent="0.3">
      <c r="B83" t="s">
        <v>12</v>
      </c>
      <c r="C83" s="16">
        <f t="shared" ref="C83:O83" si="7">$E66*C7/1000</f>
        <v>1474.12</v>
      </c>
      <c r="D83" s="16">
        <f t="shared" si="7"/>
        <v>24.221599999999999</v>
      </c>
      <c r="E83" s="16">
        <f t="shared" si="7"/>
        <v>6.1101999999999999</v>
      </c>
      <c r="F83" s="16">
        <f t="shared" si="7"/>
        <v>72.884</v>
      </c>
      <c r="G83" s="16">
        <f t="shared" si="7"/>
        <v>737.06</v>
      </c>
      <c r="H83" s="16">
        <f t="shared" si="7"/>
        <v>39730</v>
      </c>
      <c r="I83" s="16">
        <f t="shared" si="7"/>
        <v>3342.8</v>
      </c>
      <c r="J83" s="16">
        <f t="shared" si="7"/>
        <v>20988.400000000001</v>
      </c>
      <c r="K83" s="16">
        <f t="shared" si="7"/>
        <v>154.262</v>
      </c>
      <c r="L83" s="16">
        <f t="shared" si="7"/>
        <v>77.542000000000002</v>
      </c>
      <c r="M83" s="16">
        <f t="shared" si="7"/>
        <v>49.32</v>
      </c>
      <c r="N83" s="16">
        <f t="shared" si="7"/>
        <v>411</v>
      </c>
      <c r="O83" s="16">
        <f t="shared" si="7"/>
        <v>52.607999999999997</v>
      </c>
      <c r="P83" s="14"/>
    </row>
    <row r="84" spans="1:20" x14ac:dyDescent="0.3">
      <c r="B84" t="s">
        <v>18</v>
      </c>
      <c r="C84" s="16">
        <f t="shared" ref="C84:O84" si="8">$E67*C8/1000</f>
        <v>0</v>
      </c>
      <c r="D84" s="16">
        <f t="shared" si="8"/>
        <v>0</v>
      </c>
      <c r="E84" s="16">
        <f t="shared" si="8"/>
        <v>0</v>
      </c>
      <c r="F84" s="16">
        <f t="shared" si="8"/>
        <v>0</v>
      </c>
      <c r="G84" s="16">
        <f t="shared" si="8"/>
        <v>0</v>
      </c>
      <c r="H84" s="16">
        <f t="shared" si="8"/>
        <v>0</v>
      </c>
      <c r="I84" s="16">
        <f t="shared" si="8"/>
        <v>0</v>
      </c>
      <c r="J84" s="16">
        <f t="shared" si="8"/>
        <v>0</v>
      </c>
      <c r="K84" s="16">
        <f t="shared" si="8"/>
        <v>0</v>
      </c>
      <c r="L84" s="16">
        <f t="shared" si="8"/>
        <v>0</v>
      </c>
      <c r="M84" s="16">
        <f t="shared" si="8"/>
        <v>0</v>
      </c>
      <c r="N84" s="16">
        <f t="shared" si="8"/>
        <v>0</v>
      </c>
      <c r="O84" s="16">
        <f t="shared" si="8"/>
        <v>0</v>
      </c>
      <c r="P84" s="16"/>
    </row>
    <row r="85" spans="1:20" x14ac:dyDescent="0.3">
      <c r="A85" t="s">
        <v>20</v>
      </c>
      <c r="B85" t="s">
        <v>10</v>
      </c>
      <c r="C85" s="16">
        <f t="shared" ref="C85:O85" si="9">$E68*C9/1000</f>
        <v>7495.68</v>
      </c>
      <c r="D85" s="16">
        <f t="shared" si="9"/>
        <v>51.386399999999995</v>
      </c>
      <c r="E85" s="16">
        <f t="shared" si="9"/>
        <v>55.485599999999998</v>
      </c>
      <c r="F85" s="16">
        <f t="shared" si="9"/>
        <v>215.208</v>
      </c>
      <c r="G85" s="16">
        <f t="shared" si="9"/>
        <v>9486.7199999999993</v>
      </c>
      <c r="H85" s="16">
        <f t="shared" si="9"/>
        <v>166896</v>
      </c>
      <c r="I85" s="16">
        <f t="shared" si="9"/>
        <v>23863.200000000001</v>
      </c>
      <c r="J85" s="16">
        <f t="shared" si="9"/>
        <v>43480.800000000003</v>
      </c>
      <c r="K85" s="16">
        <f t="shared" si="9"/>
        <v>33.671999999999997</v>
      </c>
      <c r="L85" s="16">
        <f t="shared" si="9"/>
        <v>404.06399999999996</v>
      </c>
      <c r="M85" s="16">
        <f t="shared" si="9"/>
        <v>119.7552</v>
      </c>
      <c r="N85" s="16">
        <f t="shared" si="9"/>
        <v>1932.48</v>
      </c>
      <c r="O85" s="16">
        <f t="shared" si="9"/>
        <v>200.56800000000004</v>
      </c>
      <c r="P85" s="14"/>
    </row>
    <row r="86" spans="1:20" x14ac:dyDescent="0.3">
      <c r="B86" t="s">
        <v>11</v>
      </c>
      <c r="C86" s="16">
        <f t="shared" ref="C86:O86" si="10">$E69*C10/1000</f>
        <v>16758</v>
      </c>
      <c r="D86" s="16">
        <f t="shared" si="10"/>
        <v>110.565</v>
      </c>
      <c r="E86" s="16">
        <f t="shared" si="10"/>
        <v>149.625</v>
      </c>
      <c r="F86" s="16">
        <f t="shared" si="10"/>
        <v>478.8</v>
      </c>
      <c r="G86" s="16">
        <f t="shared" si="10"/>
        <v>12883.5</v>
      </c>
      <c r="H86" s="16">
        <f t="shared" si="10"/>
        <v>387450</v>
      </c>
      <c r="I86" s="16">
        <f t="shared" si="10"/>
        <v>51345</v>
      </c>
      <c r="J86" s="16">
        <f t="shared" si="10"/>
        <v>96390</v>
      </c>
      <c r="K86" s="16">
        <f t="shared" si="10"/>
        <v>727.65</v>
      </c>
      <c r="L86" s="16">
        <f t="shared" si="10"/>
        <v>869.39999999999986</v>
      </c>
      <c r="M86" s="16">
        <f t="shared" si="10"/>
        <v>362.25</v>
      </c>
      <c r="N86" s="16">
        <f t="shared" si="10"/>
        <v>4252.5</v>
      </c>
      <c r="O86" s="16">
        <f t="shared" si="10"/>
        <v>617.4</v>
      </c>
      <c r="P86" s="14"/>
    </row>
    <row r="87" spans="1:20" x14ac:dyDescent="0.3">
      <c r="B87" t="s">
        <v>12</v>
      </c>
      <c r="C87" s="16">
        <f t="shared" ref="C87:O87" si="11">$E70*C11/1000</f>
        <v>2252.2800000000002</v>
      </c>
      <c r="D87" s="16">
        <f t="shared" si="11"/>
        <v>14.426099999999998</v>
      </c>
      <c r="E87" s="16">
        <f t="shared" si="11"/>
        <v>15.5358</v>
      </c>
      <c r="F87" s="16">
        <f t="shared" si="11"/>
        <v>62.472000000000001</v>
      </c>
      <c r="G87" s="16">
        <f t="shared" si="11"/>
        <v>834.33</v>
      </c>
      <c r="H87" s="16">
        <f t="shared" si="11"/>
        <v>53430</v>
      </c>
      <c r="I87" s="16">
        <f t="shared" si="11"/>
        <v>2675.6099999999997</v>
      </c>
      <c r="J87" s="16">
        <f t="shared" si="11"/>
        <v>19358.099999999999</v>
      </c>
      <c r="K87" s="16">
        <f t="shared" si="11"/>
        <v>180.84000000000003</v>
      </c>
      <c r="L87" s="16">
        <f t="shared" si="11"/>
        <v>113.43599999999998</v>
      </c>
      <c r="M87" s="16">
        <f t="shared" si="11"/>
        <v>76.856999999999999</v>
      </c>
      <c r="N87" s="16">
        <f t="shared" si="11"/>
        <v>567.17999999999995</v>
      </c>
      <c r="O87" s="16">
        <f t="shared" si="11"/>
        <v>80.555999999999997</v>
      </c>
      <c r="P87" s="14"/>
      <c r="R87" t="s">
        <v>132</v>
      </c>
    </row>
    <row r="88" spans="1:20" x14ac:dyDescent="0.3">
      <c r="B88" t="s">
        <v>18</v>
      </c>
      <c r="C88" s="16">
        <f t="shared" ref="C88:O88" si="12">$E71*C12/1000</f>
        <v>2526.2800000000002</v>
      </c>
      <c r="D88" s="16">
        <f t="shared" si="12"/>
        <v>16.181099999999997</v>
      </c>
      <c r="E88" s="16">
        <f t="shared" si="12"/>
        <v>17.425799999999999</v>
      </c>
      <c r="F88" s="16">
        <f t="shared" si="12"/>
        <v>70.072000000000003</v>
      </c>
      <c r="G88" s="16">
        <f t="shared" si="12"/>
        <v>1512.0799999999997</v>
      </c>
      <c r="H88" s="16">
        <f t="shared" si="12"/>
        <v>59930</v>
      </c>
      <c r="I88" s="16">
        <f t="shared" si="12"/>
        <v>3001.1099999999997</v>
      </c>
      <c r="J88" s="16">
        <f t="shared" si="12"/>
        <v>21713.1</v>
      </c>
      <c r="K88" s="16">
        <f t="shared" si="12"/>
        <v>202.84000000000003</v>
      </c>
      <c r="L88" s="16">
        <f t="shared" si="12"/>
        <v>127.23599999999999</v>
      </c>
      <c r="M88" s="16">
        <f t="shared" si="12"/>
        <v>86.206999999999994</v>
      </c>
      <c r="N88" s="16">
        <f t="shared" si="12"/>
        <v>668.45</v>
      </c>
      <c r="O88" s="16">
        <f t="shared" si="12"/>
        <v>94.504999999999981</v>
      </c>
      <c r="P88" s="16"/>
      <c r="R88" t="s">
        <v>76</v>
      </c>
      <c r="S88" s="1">
        <v>1300000</v>
      </c>
    </row>
    <row r="89" spans="1:20" x14ac:dyDescent="0.3">
      <c r="A89" t="s">
        <v>19</v>
      </c>
      <c r="B89" t="s">
        <v>10</v>
      </c>
      <c r="C89" s="16">
        <f t="shared" ref="C89:O89" si="13">$E72*C13/1000</f>
        <v>3904.18</v>
      </c>
      <c r="D89" s="16">
        <f t="shared" si="13"/>
        <v>17.852974999999997</v>
      </c>
      <c r="E89" s="16">
        <f t="shared" si="13"/>
        <v>11.675475</v>
      </c>
      <c r="F89" s="16">
        <f t="shared" si="13"/>
        <v>41.821675000000006</v>
      </c>
      <c r="G89" s="16">
        <f t="shared" si="13"/>
        <v>2829.2950000000001</v>
      </c>
      <c r="H89" s="16">
        <f t="shared" si="13"/>
        <v>73512.25</v>
      </c>
      <c r="I89" s="16">
        <f t="shared" si="13"/>
        <v>7289.45</v>
      </c>
      <c r="J89" s="16">
        <f t="shared" si="13"/>
        <v>14517.125</v>
      </c>
      <c r="K89" s="16">
        <f t="shared" si="13"/>
        <v>52.694074999999998</v>
      </c>
      <c r="L89" s="16">
        <f t="shared" si="13"/>
        <v>352.11750000000001</v>
      </c>
      <c r="M89" s="16">
        <f t="shared" si="13"/>
        <v>62.392749999999999</v>
      </c>
      <c r="N89" s="16">
        <f t="shared" si="13"/>
        <v>1204.6125</v>
      </c>
      <c r="O89" s="16">
        <f t="shared" si="13"/>
        <v>122.3145</v>
      </c>
      <c r="P89" s="14"/>
      <c r="R89" t="s">
        <v>77</v>
      </c>
      <c r="S89" s="1">
        <v>3200000</v>
      </c>
    </row>
    <row r="90" spans="1:20" x14ac:dyDescent="0.3">
      <c r="B90" t="s">
        <v>11</v>
      </c>
      <c r="C90" s="16">
        <f t="shared" ref="C90:O90" si="14">$E73*C14/1000</f>
        <v>17139.84</v>
      </c>
      <c r="D90" s="16">
        <f t="shared" si="14"/>
        <v>78.376799999999989</v>
      </c>
      <c r="E90" s="16">
        <f t="shared" si="14"/>
        <v>52.070399999999999</v>
      </c>
      <c r="F90" s="16">
        <f t="shared" si="14"/>
        <v>183.60240000000002</v>
      </c>
      <c r="G90" s="16">
        <f t="shared" si="14"/>
        <v>7458</v>
      </c>
      <c r="H90" s="16">
        <f t="shared" si="14"/>
        <v>349848</v>
      </c>
      <c r="I90" s="16">
        <f t="shared" si="14"/>
        <v>32001.599999999999</v>
      </c>
      <c r="J90" s="16">
        <f t="shared" si="14"/>
        <v>63732</v>
      </c>
      <c r="K90" s="16">
        <f t="shared" si="14"/>
        <v>1117.3440000000001</v>
      </c>
      <c r="L90" s="16">
        <f t="shared" si="14"/>
        <v>1545.84</v>
      </c>
      <c r="M90" s="16">
        <f t="shared" si="14"/>
        <v>360.69600000000003</v>
      </c>
      <c r="N90" s="16">
        <f t="shared" si="14"/>
        <v>5396.88</v>
      </c>
      <c r="O90" s="16">
        <f t="shared" si="14"/>
        <v>1244.808</v>
      </c>
      <c r="P90" s="14"/>
      <c r="S90" s="1"/>
    </row>
    <row r="91" spans="1:20" x14ac:dyDescent="0.3">
      <c r="B91" t="s">
        <v>12</v>
      </c>
      <c r="C91" s="16">
        <f t="shared" ref="C91:O91" si="15">$E74*C15/1000</f>
        <v>5612.8050000000003</v>
      </c>
      <c r="D91" s="16">
        <f t="shared" si="15"/>
        <v>20.742974999999998</v>
      </c>
      <c r="E91" s="16">
        <f t="shared" si="15"/>
        <v>499.55399999999997</v>
      </c>
      <c r="F91" s="16">
        <f t="shared" si="15"/>
        <v>48.95055</v>
      </c>
      <c r="G91" s="16">
        <f t="shared" si="15"/>
        <v>707.70150000000001</v>
      </c>
      <c r="H91" s="16">
        <f t="shared" si="15"/>
        <v>114122.25</v>
      </c>
      <c r="I91" s="16">
        <f t="shared" si="15"/>
        <v>1607.76</v>
      </c>
      <c r="J91" s="16">
        <f t="shared" si="15"/>
        <v>12775.95</v>
      </c>
      <c r="K91" s="16">
        <f t="shared" si="15"/>
        <v>531.13499999999999</v>
      </c>
      <c r="L91" s="16">
        <f t="shared" si="15"/>
        <v>397.63350000000003</v>
      </c>
      <c r="M91" s="16">
        <f t="shared" si="15"/>
        <v>148.57425000000001</v>
      </c>
      <c r="N91" s="16">
        <f t="shared" si="15"/>
        <v>1004.85</v>
      </c>
      <c r="O91" s="16">
        <f t="shared" si="15"/>
        <v>344.52</v>
      </c>
      <c r="P91" s="14"/>
      <c r="R91" t="s">
        <v>71</v>
      </c>
      <c r="S91" s="1">
        <v>24187000</v>
      </c>
    </row>
    <row r="92" spans="1:20" x14ac:dyDescent="0.3">
      <c r="B92" t="s">
        <v>18</v>
      </c>
      <c r="C92" s="16">
        <f t="shared" ref="C92:O92" si="16">$E75*C16/1000</f>
        <v>3293.2166666666662</v>
      </c>
      <c r="D92" s="16">
        <f t="shared" si="16"/>
        <v>12.186166666666665</v>
      </c>
      <c r="E92" s="16">
        <f t="shared" si="16"/>
        <v>293.48</v>
      </c>
      <c r="F92" s="16">
        <f t="shared" si="16"/>
        <v>28.757666666666669</v>
      </c>
      <c r="G92" s="16">
        <f t="shared" si="16"/>
        <v>415.76333333333332</v>
      </c>
      <c r="H92" s="16">
        <f t="shared" si="16"/>
        <v>67044.999999999985</v>
      </c>
      <c r="I92" s="16">
        <f t="shared" si="16"/>
        <v>944.5333333333333</v>
      </c>
      <c r="J92" s="16">
        <f t="shared" si="16"/>
        <v>7505.6666666666661</v>
      </c>
      <c r="K92" s="16">
        <f t="shared" si="16"/>
        <v>312.0333333333333</v>
      </c>
      <c r="L92" s="16">
        <f t="shared" si="16"/>
        <v>233.60333333333332</v>
      </c>
      <c r="M92" s="16">
        <f t="shared" si="16"/>
        <v>87.284999999999982</v>
      </c>
      <c r="N92" s="16">
        <f t="shared" si="16"/>
        <v>334.80333333333334</v>
      </c>
      <c r="O92" s="16">
        <f t="shared" si="16"/>
        <v>199.44833333333335</v>
      </c>
      <c r="P92" s="16"/>
      <c r="Q92" s="1"/>
      <c r="R92" s="26" t="s">
        <v>72</v>
      </c>
      <c r="S92" s="22">
        <f>1300000/(5000000+14050000)</f>
        <v>6.8241469816272965E-2</v>
      </c>
    </row>
    <row r="93" spans="1:20" x14ac:dyDescent="0.3">
      <c r="A93" t="s">
        <v>22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6">
        <f>SUM(C81:O92)</f>
        <v>2220946.502741666</v>
      </c>
      <c r="R93" s="26" t="s">
        <v>73</v>
      </c>
      <c r="S93" s="1">
        <f>S91*S92</f>
        <v>1650556.4304461943</v>
      </c>
    </row>
    <row r="94" spans="1:20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6"/>
    </row>
    <row r="95" spans="1:20" x14ac:dyDescent="0.3">
      <c r="T95" s="1"/>
    </row>
    <row r="96" spans="1:20" x14ac:dyDescent="0.3">
      <c r="A96" s="8" t="s">
        <v>48</v>
      </c>
      <c r="B96" s="9" t="s">
        <v>39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9" x14ac:dyDescent="0.3">
      <c r="B97" t="s">
        <v>0</v>
      </c>
      <c r="C97" t="s">
        <v>15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16</v>
      </c>
      <c r="J97" t="s">
        <v>86</v>
      </c>
      <c r="K97" t="s">
        <v>6</v>
      </c>
      <c r="L97" t="s">
        <v>7</v>
      </c>
      <c r="M97" t="s">
        <v>17</v>
      </c>
      <c r="N97" t="s">
        <v>9</v>
      </c>
      <c r="O97" t="s">
        <v>87</v>
      </c>
      <c r="P97" t="s">
        <v>22</v>
      </c>
    </row>
    <row r="98" spans="1:19" x14ac:dyDescent="0.3"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</row>
    <row r="99" spans="1:19" x14ac:dyDescent="0.3">
      <c r="A99" t="s">
        <v>21</v>
      </c>
      <c r="B99" t="s">
        <v>10</v>
      </c>
      <c r="C99" s="16">
        <f>C22+C47-C81</f>
        <v>5962320.3511064705</v>
      </c>
      <c r="D99" s="16">
        <f t="shared" ref="D99:O99" si="17">D22+D47-D81</f>
        <v>81660.044729537593</v>
      </c>
      <c r="E99" s="16">
        <f t="shared" si="17"/>
        <v>13912.347649867999</v>
      </c>
      <c r="F99" s="16">
        <f t="shared" si="17"/>
        <v>243773.6507751921</v>
      </c>
      <c r="G99" s="16">
        <f t="shared" si="17"/>
        <v>12434534.700668659</v>
      </c>
      <c r="H99" s="16">
        <f t="shared" si="17"/>
        <v>127743239.6644053</v>
      </c>
      <c r="I99" s="16">
        <f t="shared" si="17"/>
        <v>28284435.020747669</v>
      </c>
      <c r="J99" s="16">
        <f t="shared" si="17"/>
        <v>33395734.999106202</v>
      </c>
      <c r="K99" s="16">
        <f t="shared" si="17"/>
        <v>8340.2668202802633</v>
      </c>
      <c r="L99" s="16">
        <f t="shared" si="17"/>
        <v>1711778.2378785319</v>
      </c>
      <c r="M99" s="16">
        <f t="shared" si="17"/>
        <v>118432.17679163281</v>
      </c>
      <c r="N99" s="16">
        <f t="shared" si="17"/>
        <v>1291298.2264586689</v>
      </c>
      <c r="O99" s="16">
        <f t="shared" si="17"/>
        <v>146558.04397293471</v>
      </c>
      <c r="P99" s="16"/>
      <c r="Q99" s="34"/>
    </row>
    <row r="100" spans="1:19" x14ac:dyDescent="0.3">
      <c r="B100" t="s">
        <v>11</v>
      </c>
      <c r="C100" s="16">
        <f t="shared" ref="C100:O100" si="18">C23+C48-C82</f>
        <v>3788362.7963077305</v>
      </c>
      <c r="D100" s="16">
        <f t="shared" si="18"/>
        <v>56674.968564671864</v>
      </c>
      <c r="E100" s="16">
        <f t="shared" si="18"/>
        <v>15861.37157202329</v>
      </c>
      <c r="F100" s="16">
        <f t="shared" si="18"/>
        <v>170629.1632346556</v>
      </c>
      <c r="G100" s="16">
        <f t="shared" si="18"/>
        <v>4840008.1234758822</v>
      </c>
      <c r="H100" s="16">
        <f t="shared" si="18"/>
        <v>92464668.275657684</v>
      </c>
      <c r="I100" s="16">
        <f t="shared" si="18"/>
        <v>19630401.418322269</v>
      </c>
      <c r="J100" s="16">
        <f t="shared" si="18"/>
        <v>25061116.993503682</v>
      </c>
      <c r="K100" s="16">
        <f t="shared" si="18"/>
        <v>183423.76305668132</v>
      </c>
      <c r="L100" s="16">
        <f t="shared" si="18"/>
        <v>1188034.8202457291</v>
      </c>
      <c r="M100" s="16">
        <f t="shared" si="18"/>
        <v>100189.2837984488</v>
      </c>
      <c r="N100" s="16">
        <f t="shared" si="18"/>
        <v>927188.01455330243</v>
      </c>
      <c r="O100" s="16">
        <f t="shared" si="18"/>
        <v>123710.6294997067</v>
      </c>
      <c r="P100" s="12"/>
    </row>
    <row r="101" spans="1:19" x14ac:dyDescent="0.3">
      <c r="B101" t="s">
        <v>12</v>
      </c>
      <c r="C101" s="16">
        <f t="shared" ref="C101:O101" si="19">C24+C49-C83</f>
        <v>6173061.8077928498</v>
      </c>
      <c r="D101" s="16">
        <f t="shared" si="19"/>
        <v>101488.78364798029</v>
      </c>
      <c r="E101" s="16">
        <f t="shared" si="19"/>
        <v>25637.445711402641</v>
      </c>
      <c r="F101" s="16">
        <f t="shared" si="19"/>
        <v>305548.2831033243</v>
      </c>
      <c r="G101" s="16">
        <f t="shared" si="19"/>
        <v>3083607.7398839658</v>
      </c>
      <c r="H101" s="16">
        <f t="shared" si="19"/>
        <v>166531816.8143957</v>
      </c>
      <c r="I101" s="16">
        <f t="shared" si="19"/>
        <v>14060995.531913521</v>
      </c>
      <c r="J101" s="16">
        <f t="shared" si="19"/>
        <v>87971809.019970953</v>
      </c>
      <c r="K101" s="16">
        <f t="shared" si="19"/>
        <v>646554.16955489281</v>
      </c>
      <c r="L101" s="16">
        <f t="shared" si="19"/>
        <v>325418.82165847742</v>
      </c>
      <c r="M101" s="16">
        <f t="shared" si="19"/>
        <v>206735.46609684869</v>
      </c>
      <c r="N101" s="16">
        <f t="shared" si="19"/>
        <v>1724688.240679112</v>
      </c>
      <c r="O101" s="16">
        <f t="shared" si="19"/>
        <v>220350.27155134777</v>
      </c>
    </row>
    <row r="102" spans="1:19" x14ac:dyDescent="0.3">
      <c r="B102" t="s">
        <v>18</v>
      </c>
      <c r="C102" s="16">
        <f t="shared" ref="C102:O102" si="20">C25+C50-C84</f>
        <v>3079802.8414498288</v>
      </c>
      <c r="D102" s="16">
        <f t="shared" si="20"/>
        <v>50651.029824093581</v>
      </c>
      <c r="E102" s="16">
        <f t="shared" si="20"/>
        <v>12794.054439292049</v>
      </c>
      <c r="F102" s="16">
        <f t="shared" si="20"/>
        <v>152488.08795212681</v>
      </c>
      <c r="G102" s="16">
        <f t="shared" si="20"/>
        <v>2238020.8966545719</v>
      </c>
      <c r="H102" s="16">
        <f t="shared" si="20"/>
        <v>83110805.988912791</v>
      </c>
      <c r="I102" s="16">
        <f t="shared" si="20"/>
        <v>7015901.2932912754</v>
      </c>
      <c r="J102" s="16">
        <f t="shared" si="20"/>
        <v>43904059.459951632</v>
      </c>
      <c r="K102" s="16">
        <f t="shared" si="20"/>
        <v>322676.38484404807</v>
      </c>
      <c r="L102" s="16">
        <f t="shared" si="20"/>
        <v>162394.32718442261</v>
      </c>
      <c r="M102" s="16">
        <f t="shared" si="20"/>
        <v>103174.99426033425</v>
      </c>
      <c r="N102" s="16">
        <f t="shared" si="20"/>
        <v>920521.51435397181</v>
      </c>
      <c r="O102" s="16">
        <f t="shared" si="20"/>
        <v>115222.1190886001</v>
      </c>
    </row>
    <row r="103" spans="1:19" x14ac:dyDescent="0.3">
      <c r="A103" t="s">
        <v>20</v>
      </c>
      <c r="B103" t="s">
        <v>10</v>
      </c>
      <c r="C103" s="16">
        <f t="shared" ref="C103:O103" si="21">C26+C51-C85</f>
        <v>3184181.1952633681</v>
      </c>
      <c r="D103" s="16">
        <f t="shared" si="21"/>
        <v>21844.253553250139</v>
      </c>
      <c r="E103" s="16">
        <f t="shared" si="21"/>
        <v>23525.548764882711</v>
      </c>
      <c r="F103" s="16">
        <f t="shared" si="21"/>
        <v>91337.888686647697</v>
      </c>
      <c r="G103" s="16">
        <f t="shared" si="21"/>
        <v>4025141.0646941378</v>
      </c>
      <c r="H103" s="16">
        <f t="shared" si="21"/>
        <v>71116219.916696161</v>
      </c>
      <c r="I103" s="16">
        <f t="shared" si="21"/>
        <v>10121575.17848248</v>
      </c>
      <c r="J103" s="16">
        <f t="shared" si="21"/>
        <v>18468053.412419658</v>
      </c>
      <c r="K103" s="16">
        <f t="shared" si="21"/>
        <v>14320.797289834069</v>
      </c>
      <c r="L103" s="16">
        <f t="shared" si="21"/>
        <v>171684.01515536549</v>
      </c>
      <c r="M103" s="16">
        <f t="shared" si="21"/>
        <v>50852.847911941586</v>
      </c>
      <c r="N103" s="16">
        <f t="shared" si="21"/>
        <v>821534.42050555232</v>
      </c>
      <c r="O103" s="16">
        <f t="shared" si="21"/>
        <v>85398.030358457021</v>
      </c>
      <c r="P103" s="16"/>
      <c r="Q103" s="34"/>
    </row>
    <row r="104" spans="1:19" x14ac:dyDescent="0.3">
      <c r="B104" t="s">
        <v>11</v>
      </c>
      <c r="C104" s="16">
        <f t="shared" ref="C104:N104" si="22">C27+C52-C86</f>
        <v>4258794.2200831957</v>
      </c>
      <c r="D104" s="16">
        <f t="shared" si="22"/>
        <v>28145.885994202672</v>
      </c>
      <c r="E104" s="16">
        <f t="shared" si="22"/>
        <v>38069.407267245821</v>
      </c>
      <c r="F104" s="16">
        <f t="shared" si="22"/>
        <v>121736.99262608179</v>
      </c>
      <c r="G104" s="16">
        <f t="shared" si="22"/>
        <v>3271925.1993065793</v>
      </c>
      <c r="H104" s="16">
        <f t="shared" si="22"/>
        <v>98142281.897481412</v>
      </c>
      <c r="I104" s="16">
        <f t="shared" si="22"/>
        <v>13041402.36743832</v>
      </c>
      <c r="J104" s="16">
        <f t="shared" si="22"/>
        <v>24518696.830572359</v>
      </c>
      <c r="K104" s="16">
        <f t="shared" si="22"/>
        <v>185279.35307542153</v>
      </c>
      <c r="L104" s="16">
        <f t="shared" si="22"/>
        <v>221211.26928951591</v>
      </c>
      <c r="M104" s="16">
        <f t="shared" si="22"/>
        <v>91714.87315840229</v>
      </c>
      <c r="N104" s="16">
        <f t="shared" si="22"/>
        <v>1079183.918633471</v>
      </c>
      <c r="O104" s="16">
        <f>O27+O52-O86</f>
        <v>157042.06512175451</v>
      </c>
      <c r="P104" s="14"/>
    </row>
    <row r="105" spans="1:19" x14ac:dyDescent="0.3">
      <c r="B105" t="s">
        <v>12</v>
      </c>
      <c r="C105" s="16">
        <f t="shared" ref="C105:O105" si="23">C28+C53-C87</f>
        <v>11420129.98138459</v>
      </c>
      <c r="D105" s="16">
        <f t="shared" si="23"/>
        <v>73216.555295699261</v>
      </c>
      <c r="E105" s="16">
        <f t="shared" si="23"/>
        <v>78755.728983404755</v>
      </c>
      <c r="F105" s="16">
        <f t="shared" si="23"/>
        <v>316678.73650836828</v>
      </c>
      <c r="G105" s="16">
        <f t="shared" si="23"/>
        <v>4229347.7110315096</v>
      </c>
      <c r="H105" s="16">
        <f t="shared" si="23"/>
        <v>271725171.85292751</v>
      </c>
      <c r="I105" s="16">
        <f t="shared" si="23"/>
        <v>13570079.709307751</v>
      </c>
      <c r="J105" s="16">
        <f t="shared" si="23"/>
        <v>98098836.540798202</v>
      </c>
      <c r="K105" s="16">
        <f t="shared" si="23"/>
        <v>915942.04918694927</v>
      </c>
      <c r="L105" s="16">
        <f t="shared" si="23"/>
        <v>575443.11087213433</v>
      </c>
      <c r="M105" s="16">
        <f t="shared" si="23"/>
        <v>389817.18117587327</v>
      </c>
      <c r="N105" s="16">
        <f t="shared" si="23"/>
        <v>2883569.7284022695</v>
      </c>
      <c r="O105" s="16">
        <f t="shared" si="23"/>
        <v>407634.19863844709</v>
      </c>
      <c r="P105" s="14"/>
    </row>
    <row r="106" spans="1:19" x14ac:dyDescent="0.3">
      <c r="B106" t="s">
        <v>18</v>
      </c>
      <c r="C106" s="16">
        <f t="shared" ref="C106:O106" si="24">C29+C54-C88</f>
        <v>3686846.3934657471</v>
      </c>
      <c r="D106" s="16">
        <f t="shared" si="24"/>
        <v>23642.116584852058</v>
      </c>
      <c r="E106" s="16">
        <f t="shared" si="24"/>
        <v>25432.151123686021</v>
      </c>
      <c r="F106" s="16">
        <f t="shared" si="24"/>
        <v>102263.4747737846</v>
      </c>
      <c r="G106" s="16">
        <f t="shared" si="24"/>
        <v>2208572.7249035202</v>
      </c>
      <c r="H106" s="16">
        <f t="shared" si="24"/>
        <v>87733557.753821909</v>
      </c>
      <c r="I106" s="16">
        <f t="shared" si="24"/>
        <v>4382011.2591274148</v>
      </c>
      <c r="J106" s="16">
        <f t="shared" si="24"/>
        <v>31679015.633286789</v>
      </c>
      <c r="K106" s="16">
        <f t="shared" si="24"/>
        <v>295792.0178771377</v>
      </c>
      <c r="L106" s="16">
        <f t="shared" si="24"/>
        <v>185818.60616821627</v>
      </c>
      <c r="M106" s="16">
        <f t="shared" si="24"/>
        <v>125878.40437861081</v>
      </c>
      <c r="N106" s="16">
        <f t="shared" si="24"/>
        <v>975701.24551398936</v>
      </c>
      <c r="O106" s="16">
        <f t="shared" si="24"/>
        <v>138112.69270465212</v>
      </c>
      <c r="Q106" s="1"/>
    </row>
    <row r="107" spans="1:19" x14ac:dyDescent="0.3">
      <c r="A107" t="s">
        <v>19</v>
      </c>
      <c r="B107" t="s">
        <v>10</v>
      </c>
      <c r="C107" s="16">
        <f t="shared" ref="C107:O107" si="25">C30+C55-C89</f>
        <v>4202694.8506862465</v>
      </c>
      <c r="D107" s="16">
        <f t="shared" si="25"/>
        <v>19235.553536261479</v>
      </c>
      <c r="E107" s="16">
        <f t="shared" si="25"/>
        <v>12533.032372330061</v>
      </c>
      <c r="F107" s="16">
        <f t="shared" si="25"/>
        <v>45004.106277950435</v>
      </c>
      <c r="G107" s="16">
        <f t="shared" si="25"/>
        <v>3043703.2724400987</v>
      </c>
      <c r="H107" s="16">
        <f t="shared" si="25"/>
        <v>79140413.196280569</v>
      </c>
      <c r="I107" s="16">
        <f t="shared" si="25"/>
        <v>7829294.3136810167</v>
      </c>
      <c r="J107" s="16">
        <f t="shared" si="25"/>
        <v>15640799.762756219</v>
      </c>
      <c r="K107" s="16">
        <f t="shared" si="25"/>
        <v>56707.724188850072</v>
      </c>
      <c r="L107" s="16">
        <f t="shared" si="25"/>
        <v>378923.7743246493</v>
      </c>
      <c r="M107" s="16">
        <f t="shared" si="25"/>
        <v>67187.183435596438</v>
      </c>
      <c r="N107" s="16">
        <f t="shared" si="25"/>
        <v>1292624.9420445019</v>
      </c>
      <c r="O107" s="16">
        <f t="shared" si="25"/>
        <v>131421.45291575658</v>
      </c>
      <c r="P107" s="16"/>
      <c r="Q107" s="34"/>
    </row>
    <row r="108" spans="1:19" x14ac:dyDescent="0.3">
      <c r="B108" t="s">
        <v>11</v>
      </c>
      <c r="C108" s="16">
        <f t="shared" ref="C108:O108" si="26">C31+C56-C90</f>
        <v>3732636.2275912431</v>
      </c>
      <c r="D108" s="16">
        <f t="shared" si="26"/>
        <v>17103.85266873307</v>
      </c>
      <c r="E108" s="16">
        <f t="shared" si="26"/>
        <v>11345.602280190609</v>
      </c>
      <c r="F108" s="16">
        <f t="shared" si="26"/>
        <v>40016.528951659719</v>
      </c>
      <c r="G108" s="16">
        <f t="shared" si="26"/>
        <v>1621860.4889619411</v>
      </c>
      <c r="H108" s="16">
        <f t="shared" si="26"/>
        <v>75961863.843616292</v>
      </c>
      <c r="I108" s="16">
        <f t="shared" si="26"/>
        <v>6961564.9878013395</v>
      </c>
      <c r="J108" s="16">
        <f t="shared" si="26"/>
        <v>13899698.016886922</v>
      </c>
      <c r="K108" s="16">
        <f t="shared" si="26"/>
        <v>243697.64258467458</v>
      </c>
      <c r="L108" s="16">
        <f t="shared" si="26"/>
        <v>336929.60856427188</v>
      </c>
      <c r="M108" s="16">
        <f t="shared" si="26"/>
        <v>78357.858708764674</v>
      </c>
      <c r="N108" s="16">
        <f t="shared" si="26"/>
        <v>1178538.7449908911</v>
      </c>
      <c r="O108" s="16">
        <f t="shared" si="26"/>
        <v>271363.62691274949</v>
      </c>
      <c r="P108" s="14"/>
      <c r="Q108" s="16"/>
    </row>
    <row r="109" spans="1:19" x14ac:dyDescent="0.3">
      <c r="B109" t="s">
        <v>12</v>
      </c>
      <c r="C109" s="16">
        <f t="shared" ref="C109:O109" si="27">C32+C57-C91</f>
        <v>7908340.9171215491</v>
      </c>
      <c r="D109" s="16">
        <f t="shared" si="27"/>
        <v>29293.900910129298</v>
      </c>
      <c r="E109" s="16">
        <f t="shared" si="27"/>
        <v>704007.51152116014</v>
      </c>
      <c r="F109" s="16">
        <f t="shared" si="27"/>
        <v>69059.123137523842</v>
      </c>
      <c r="G109" s="16">
        <f t="shared" si="27"/>
        <v>997936.46373083652</v>
      </c>
      <c r="H109" s="16">
        <f t="shared" si="27"/>
        <v>161012211.3942703</v>
      </c>
      <c r="I109" s="16">
        <f t="shared" si="27"/>
        <v>2263337.0256795106</v>
      </c>
      <c r="J109" s="16">
        <f t="shared" si="27"/>
        <v>17977817.49651403</v>
      </c>
      <c r="K109" s="16">
        <f t="shared" si="27"/>
        <v>748406.09946751152</v>
      </c>
      <c r="L109" s="16">
        <f t="shared" si="27"/>
        <v>560437.79598783469</v>
      </c>
      <c r="M109" s="16">
        <f t="shared" si="27"/>
        <v>209690.55021837429</v>
      </c>
      <c r="N109" s="16">
        <f t="shared" si="27"/>
        <v>1413727.247979722</v>
      </c>
      <c r="O109" s="16">
        <f t="shared" si="27"/>
        <v>486084.32451934926</v>
      </c>
      <c r="P109" s="29"/>
      <c r="R109" t="s">
        <v>132</v>
      </c>
    </row>
    <row r="110" spans="1:19" x14ac:dyDescent="0.3">
      <c r="B110" t="s">
        <v>18</v>
      </c>
      <c r="C110" s="16">
        <f t="shared" ref="C110:O110" si="28">C33+C58-C92</f>
        <v>5773944.378597117</v>
      </c>
      <c r="D110" s="16">
        <f t="shared" si="28"/>
        <v>21392.394529235055</v>
      </c>
      <c r="E110" s="16">
        <f t="shared" si="28"/>
        <v>514142.37980705145</v>
      </c>
      <c r="F110" s="16">
        <f t="shared" si="28"/>
        <v>50433.007087724422</v>
      </c>
      <c r="G110" s="16">
        <f t="shared" si="28"/>
        <v>728789.70228833763</v>
      </c>
      <c r="H110" s="16">
        <f t="shared" si="28"/>
        <v>117585010.6196616</v>
      </c>
      <c r="I110" s="16">
        <f t="shared" si="28"/>
        <v>1652980.0449804887</v>
      </c>
      <c r="J110" s="16">
        <f t="shared" si="28"/>
        <v>13129863.069791984</v>
      </c>
      <c r="K110" s="16">
        <f t="shared" si="28"/>
        <v>546569.09296833246</v>
      </c>
      <c r="L110" s="16">
        <f t="shared" si="28"/>
        <v>409291.02728659177</v>
      </c>
      <c r="M110" s="16">
        <f t="shared" si="28"/>
        <v>153132.77564217171</v>
      </c>
      <c r="N110" s="16">
        <f t="shared" si="28"/>
        <v>586530.59505478037</v>
      </c>
      <c r="O110" s="16">
        <f t="shared" si="28"/>
        <v>349230.26083004539</v>
      </c>
      <c r="Q110" s="1"/>
      <c r="R110" t="s">
        <v>78</v>
      </c>
      <c r="S110" s="1">
        <v>2110000000</v>
      </c>
    </row>
    <row r="111" spans="1:19" x14ac:dyDescent="0.3">
      <c r="A111" t="s">
        <v>22</v>
      </c>
      <c r="H111" s="1"/>
      <c r="P111" s="16">
        <f>SUM(C99:O110)</f>
        <v>2124248112.5441873</v>
      </c>
      <c r="R111" t="s">
        <v>79</v>
      </c>
      <c r="S111" s="1">
        <v>1575000000</v>
      </c>
    </row>
    <row r="112" spans="1:19" x14ac:dyDescent="0.3">
      <c r="H112" s="1"/>
      <c r="P112" s="16"/>
      <c r="S112" s="1"/>
    </row>
    <row r="114" spans="1:17" x14ac:dyDescent="0.3">
      <c r="A114" s="8" t="s">
        <v>250</v>
      </c>
      <c r="B114" s="9" t="s">
        <v>259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7" x14ac:dyDescent="0.3">
      <c r="C115" t="s">
        <v>15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16</v>
      </c>
      <c r="J115" t="s">
        <v>86</v>
      </c>
      <c r="K115" t="s">
        <v>6</v>
      </c>
      <c r="L115" t="s">
        <v>7</v>
      </c>
      <c r="M115" t="s">
        <v>17</v>
      </c>
      <c r="N115" t="s">
        <v>9</v>
      </c>
      <c r="O115" t="s">
        <v>87</v>
      </c>
      <c r="P115" t="s">
        <v>22</v>
      </c>
    </row>
    <row r="116" spans="1:17" x14ac:dyDescent="0.3"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</row>
    <row r="117" spans="1:17" x14ac:dyDescent="0.3">
      <c r="A117" t="s">
        <v>243</v>
      </c>
      <c r="C117" s="1">
        <f>23.5*1000</f>
        <v>23500</v>
      </c>
      <c r="D117" s="1">
        <f>1.9*1000</f>
        <v>1900</v>
      </c>
      <c r="E117" s="1">
        <v>0</v>
      </c>
      <c r="F117" s="1">
        <f>13.5*1000</f>
        <v>13500</v>
      </c>
      <c r="G117" s="1">
        <f>142.7*1000</f>
        <v>142700</v>
      </c>
      <c r="H117" s="1">
        <f>498*1000</f>
        <v>498000</v>
      </c>
      <c r="I117" s="1">
        <f>144.3*1000</f>
        <v>144300</v>
      </c>
      <c r="J117" s="1">
        <f>(1.9+9+195+7.2)*1000</f>
        <v>213100</v>
      </c>
      <c r="K117" s="1">
        <f>26.5*1000</f>
        <v>26500</v>
      </c>
      <c r="L117" s="1">
        <f>45.2*1000</f>
        <v>45200</v>
      </c>
      <c r="M117" s="1">
        <f>15*1000</f>
        <v>15000</v>
      </c>
      <c r="N117" s="1">
        <f>31.2*1000</f>
        <v>31200</v>
      </c>
      <c r="O117" s="1">
        <f>(18.6+2.2)*1000</f>
        <v>20800</v>
      </c>
      <c r="P117" s="1">
        <f>SUM(C117:O117)</f>
        <v>1175700</v>
      </c>
    </row>
    <row r="118" spans="1:17" x14ac:dyDescent="0.3">
      <c r="A118" t="s">
        <v>244</v>
      </c>
      <c r="C118" s="1">
        <f>23.4*1000</f>
        <v>23400</v>
      </c>
      <c r="D118" s="1">
        <f>1.9*1000</f>
        <v>1900</v>
      </c>
      <c r="E118" s="1">
        <v>0</v>
      </c>
      <c r="F118" s="1">
        <f>13.5*1000</f>
        <v>13500</v>
      </c>
      <c r="G118" s="1">
        <f>142.7*1000</f>
        <v>142700</v>
      </c>
      <c r="H118" s="1">
        <f>498*1000</f>
        <v>498000</v>
      </c>
      <c r="I118" s="1">
        <f>144.3*1000</f>
        <v>144300</v>
      </c>
      <c r="J118" s="1">
        <f>(1.9+9+3.3+7.2)*1000</f>
        <v>21400</v>
      </c>
      <c r="K118" s="1">
        <f>26.5*1000</f>
        <v>26500</v>
      </c>
      <c r="L118" s="1">
        <f>45.2*1000</f>
        <v>45200</v>
      </c>
      <c r="M118" s="1">
        <f>15*1000</f>
        <v>15000</v>
      </c>
      <c r="N118" s="1">
        <f>31.2*1000</f>
        <v>31200</v>
      </c>
      <c r="O118" s="1">
        <f>(18.6+2.2)*1000</f>
        <v>20800</v>
      </c>
      <c r="P118" s="1">
        <f>SUM(C118:O118)</f>
        <v>983900</v>
      </c>
    </row>
    <row r="120" spans="1:17" x14ac:dyDescent="0.3">
      <c r="A120" t="s">
        <v>245</v>
      </c>
      <c r="B120">
        <f>1600*1000</f>
        <v>1600000</v>
      </c>
      <c r="C120" t="s">
        <v>247</v>
      </c>
    </row>
    <row r="121" spans="1:17" x14ac:dyDescent="0.3">
      <c r="A121" t="s">
        <v>246</v>
      </c>
      <c r="B121">
        <f>700*1000</f>
        <v>700000</v>
      </c>
      <c r="C121" t="s">
        <v>247</v>
      </c>
    </row>
    <row r="123" spans="1:17" x14ac:dyDescent="0.3">
      <c r="A123" t="s">
        <v>248</v>
      </c>
      <c r="C123" s="16">
        <f t="shared" ref="C123:O123" si="29">(C117/$P$117)*$B$120</f>
        <v>31980.947520626007</v>
      </c>
      <c r="D123" s="16">
        <f t="shared" si="29"/>
        <v>2585.6936293272092</v>
      </c>
      <c r="E123" s="16">
        <f t="shared" si="29"/>
        <v>0</v>
      </c>
      <c r="F123" s="16">
        <f t="shared" si="29"/>
        <v>18372.033682061749</v>
      </c>
      <c r="G123" s="16">
        <f t="shared" si="29"/>
        <v>194199.20047631199</v>
      </c>
      <c r="H123" s="16">
        <f t="shared" si="29"/>
        <v>677723.90916050016</v>
      </c>
      <c r="I123" s="16">
        <f t="shared" si="29"/>
        <v>196376.62669048226</v>
      </c>
      <c r="J123" s="16">
        <f t="shared" si="29"/>
        <v>290005.95389980439</v>
      </c>
      <c r="K123" s="16">
        <f t="shared" si="29"/>
        <v>36063.621672195288</v>
      </c>
      <c r="L123" s="16">
        <f t="shared" si="29"/>
        <v>61512.290550310456</v>
      </c>
      <c r="M123" s="16">
        <f t="shared" si="29"/>
        <v>20413.370757846387</v>
      </c>
      <c r="N123" s="16">
        <f t="shared" si="29"/>
        <v>42459.811176320487</v>
      </c>
      <c r="O123" s="16">
        <f t="shared" si="29"/>
        <v>28306.540784213656</v>
      </c>
      <c r="P123" s="16">
        <f>SUM(C123:O123)</f>
        <v>1600000</v>
      </c>
    </row>
    <row r="124" spans="1:17" x14ac:dyDescent="0.3">
      <c r="A124" t="s">
        <v>249</v>
      </c>
      <c r="C124" s="16">
        <f t="shared" ref="C124:O124" si="30">(C118/$P$118)*$B$121</f>
        <v>16648.033336721212</v>
      </c>
      <c r="D124" s="16">
        <f t="shared" si="30"/>
        <v>1351.7633905884745</v>
      </c>
      <c r="E124" s="16">
        <f t="shared" si="30"/>
        <v>0</v>
      </c>
      <c r="F124" s="16">
        <f t="shared" si="30"/>
        <v>9604.6346173391594</v>
      </c>
      <c r="G124" s="16">
        <f t="shared" si="30"/>
        <v>101524.54517735541</v>
      </c>
      <c r="H124" s="16">
        <f t="shared" si="30"/>
        <v>354304.29921740008</v>
      </c>
      <c r="I124" s="16">
        <f t="shared" si="30"/>
        <v>102662.87224311414</v>
      </c>
      <c r="J124" s="16">
        <f t="shared" si="30"/>
        <v>15225.124504522817</v>
      </c>
      <c r="K124" s="16">
        <f t="shared" si="30"/>
        <v>18853.542026628722</v>
      </c>
      <c r="L124" s="16">
        <f t="shared" si="30"/>
        <v>32157.739607683707</v>
      </c>
      <c r="M124" s="16">
        <f t="shared" si="30"/>
        <v>10671.816241487955</v>
      </c>
      <c r="N124" s="16">
        <f t="shared" si="30"/>
        <v>22197.377782294949</v>
      </c>
      <c r="O124" s="16">
        <f t="shared" si="30"/>
        <v>14798.2518548633</v>
      </c>
      <c r="P124" s="16">
        <f>SUM(C124:O124)</f>
        <v>700000</v>
      </c>
    </row>
    <row r="125" spans="1:17" x14ac:dyDescent="0.3">
      <c r="Q125" s="1"/>
    </row>
    <row r="127" spans="1:17" ht="28.8" x14ac:dyDescent="0.3">
      <c r="A127" s="10" t="s">
        <v>49</v>
      </c>
      <c r="B127" s="9" t="s">
        <v>39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7" x14ac:dyDescent="0.3">
      <c r="C128" t="s">
        <v>15</v>
      </c>
      <c r="D128" t="s">
        <v>1</v>
      </c>
      <c r="E128" t="s">
        <v>2</v>
      </c>
      <c r="F128" t="s">
        <v>3</v>
      </c>
      <c r="G128" t="s">
        <v>4</v>
      </c>
      <c r="H128" t="s">
        <v>5</v>
      </c>
      <c r="I128" t="s">
        <v>16</v>
      </c>
      <c r="J128" t="s">
        <v>86</v>
      </c>
      <c r="K128" t="s">
        <v>6</v>
      </c>
      <c r="L128" t="s">
        <v>7</v>
      </c>
      <c r="M128" t="s">
        <v>17</v>
      </c>
      <c r="N128" t="s">
        <v>9</v>
      </c>
      <c r="O128" t="s">
        <v>87</v>
      </c>
      <c r="P128" t="s">
        <v>22</v>
      </c>
    </row>
    <row r="129" spans="1:17" x14ac:dyDescent="0.3"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</row>
    <row r="130" spans="1:17" x14ac:dyDescent="0.3">
      <c r="A130" t="s">
        <v>21</v>
      </c>
      <c r="B130" t="s">
        <v>50</v>
      </c>
      <c r="C130" s="16">
        <f t="shared" ref="C130:O130" si="31">C50</f>
        <v>186822.3</v>
      </c>
      <c r="D130" s="16">
        <f t="shared" si="31"/>
        <v>3075.4360000000001</v>
      </c>
      <c r="E130" s="16">
        <f t="shared" si="31"/>
        <v>775.81700000000001</v>
      </c>
      <c r="F130" s="16">
        <f t="shared" si="31"/>
        <v>9254.14</v>
      </c>
      <c r="G130" s="16">
        <f t="shared" si="31"/>
        <v>136028.9</v>
      </c>
      <c r="H130" s="16">
        <f t="shared" si="31"/>
        <v>5044550</v>
      </c>
      <c r="I130" s="16">
        <f t="shared" si="31"/>
        <v>424438</v>
      </c>
      <c r="J130" s="16">
        <f t="shared" si="31"/>
        <v>2664914</v>
      </c>
      <c r="K130" s="16">
        <f t="shared" si="31"/>
        <v>19586.77</v>
      </c>
      <c r="L130" s="16">
        <f t="shared" si="31"/>
        <v>9845.57</v>
      </c>
      <c r="M130" s="16">
        <f t="shared" si="31"/>
        <v>6262.2</v>
      </c>
      <c r="N130" s="16">
        <f t="shared" si="31"/>
        <v>56011.900000000009</v>
      </c>
      <c r="O130" s="16">
        <f t="shared" si="31"/>
        <v>6992.7899999999991</v>
      </c>
      <c r="P130" s="16">
        <f>SUM(C130:O130)</f>
        <v>8568557.8229999989</v>
      </c>
    </row>
    <row r="131" spans="1:17" x14ac:dyDescent="0.3">
      <c r="B131" t="s">
        <v>51</v>
      </c>
      <c r="C131" s="16">
        <f t="shared" ref="C131:O131" si="32">SUM(C99:C102)</f>
        <v>19003547.796656877</v>
      </c>
      <c r="D131" s="16">
        <f t="shared" si="32"/>
        <v>290474.82676628331</v>
      </c>
      <c r="E131" s="16">
        <f t="shared" si="32"/>
        <v>68205.219372585969</v>
      </c>
      <c r="F131" s="16">
        <f t="shared" si="32"/>
        <v>872439.18506529881</v>
      </c>
      <c r="G131" s="16">
        <f t="shared" si="32"/>
        <v>22596171.460683081</v>
      </c>
      <c r="H131" s="16">
        <f t="shared" si="32"/>
        <v>469850530.74337149</v>
      </c>
      <c r="I131" s="16">
        <f t="shared" si="32"/>
        <v>68991733.264274731</v>
      </c>
      <c r="J131" s="16">
        <f t="shared" si="32"/>
        <v>190332720.47253248</v>
      </c>
      <c r="K131" s="16">
        <f t="shared" si="32"/>
        <v>1160994.5842759025</v>
      </c>
      <c r="L131" s="16">
        <f t="shared" si="32"/>
        <v>3387626.2069671606</v>
      </c>
      <c r="M131" s="16">
        <f t="shared" si="32"/>
        <v>528531.92094726453</v>
      </c>
      <c r="N131" s="16">
        <f t="shared" si="32"/>
        <v>4863695.9960450558</v>
      </c>
      <c r="O131" s="16">
        <f t="shared" si="32"/>
        <v>605841.06411258923</v>
      </c>
      <c r="P131" s="16">
        <f t="shared" ref="P131:P141" si="33">SUM(C131:O131)</f>
        <v>782552512.74107087</v>
      </c>
      <c r="Q131" s="34"/>
    </row>
    <row r="132" spans="1:17" x14ac:dyDescent="0.3">
      <c r="B132" t="s">
        <v>52</v>
      </c>
      <c r="C132" s="16">
        <f t="shared" ref="C132:O132" si="34">SUM(C81:C84)</f>
        <v>11099.169999999998</v>
      </c>
      <c r="D132" s="16">
        <f t="shared" si="34"/>
        <v>160.7996</v>
      </c>
      <c r="E132" s="16">
        <f t="shared" si="34"/>
        <v>35.487699999999997</v>
      </c>
      <c r="F132" s="16">
        <f t="shared" si="34"/>
        <v>482.024</v>
      </c>
      <c r="G132" s="16">
        <f t="shared" si="34"/>
        <v>17846.060000000001</v>
      </c>
      <c r="H132" s="16">
        <f t="shared" si="34"/>
        <v>256720</v>
      </c>
      <c r="I132" s="16">
        <f t="shared" si="34"/>
        <v>50619.8</v>
      </c>
      <c r="J132" s="16">
        <f t="shared" si="34"/>
        <v>78652.899999999994</v>
      </c>
      <c r="K132" s="16">
        <f t="shared" si="34"/>
        <v>342.70445000000001</v>
      </c>
      <c r="L132" s="16">
        <f t="shared" si="34"/>
        <v>2935.7919999999999</v>
      </c>
      <c r="M132" s="16">
        <f t="shared" si="34"/>
        <v>264.72000000000003</v>
      </c>
      <c r="N132" s="16">
        <f t="shared" si="34"/>
        <v>2605.5</v>
      </c>
      <c r="O132" s="16">
        <f t="shared" si="34"/>
        <v>319.68300000000005</v>
      </c>
      <c r="P132" s="16">
        <f t="shared" si="33"/>
        <v>422084.64075000002</v>
      </c>
    </row>
    <row r="133" spans="1:17" x14ac:dyDescent="0.3">
      <c r="A133" t="s">
        <v>20</v>
      </c>
      <c r="B133" t="s">
        <v>50</v>
      </c>
      <c r="C133" s="16">
        <f t="shared" ref="C133:O133" si="35">C54</f>
        <v>173935.19999999998</v>
      </c>
      <c r="D133" s="16">
        <f t="shared" si="35"/>
        <v>1114.0739999999998</v>
      </c>
      <c r="E133" s="16">
        <f t="shared" si="35"/>
        <v>1199.7719999999997</v>
      </c>
      <c r="F133" s="16">
        <f t="shared" si="35"/>
        <v>4824.4799999999987</v>
      </c>
      <c r="G133" s="16">
        <f t="shared" si="35"/>
        <v>104107.19999999997</v>
      </c>
      <c r="H133" s="16">
        <f t="shared" si="35"/>
        <v>4126199.9999999995</v>
      </c>
      <c r="I133" s="16">
        <f t="shared" si="35"/>
        <v>206627.39999999994</v>
      </c>
      <c r="J133" s="16">
        <f t="shared" si="35"/>
        <v>1494953.9999999998</v>
      </c>
      <c r="K133" s="16">
        <f t="shared" si="35"/>
        <v>13965.6</v>
      </c>
      <c r="L133" s="16">
        <f t="shared" si="35"/>
        <v>8760.239999999998</v>
      </c>
      <c r="M133" s="16">
        <f t="shared" si="35"/>
        <v>5935.3799999999992</v>
      </c>
      <c r="N133" s="16">
        <f t="shared" si="35"/>
        <v>46022.999999999993</v>
      </c>
      <c r="O133" s="16">
        <f t="shared" si="35"/>
        <v>6506.699999999998</v>
      </c>
      <c r="P133" s="16">
        <f t="shared" si="33"/>
        <v>6194153.0460000001</v>
      </c>
    </row>
    <row r="134" spans="1:17" x14ac:dyDescent="0.3">
      <c r="B134" t="s">
        <v>51</v>
      </c>
      <c r="C134" s="16">
        <f t="shared" ref="C134:O134" si="36">SUM(C103:C106)</f>
        <v>22549951.790196899</v>
      </c>
      <c r="D134" s="16">
        <f t="shared" si="36"/>
        <v>146848.81142800412</v>
      </c>
      <c r="E134" s="16">
        <f t="shared" si="36"/>
        <v>165782.83613921932</v>
      </c>
      <c r="F134" s="16">
        <f t="shared" si="36"/>
        <v>632017.09259488247</v>
      </c>
      <c r="G134" s="16">
        <f t="shared" si="36"/>
        <v>13734986.699935747</v>
      </c>
      <c r="H134" s="16">
        <f t="shared" si="36"/>
        <v>528717231.42092699</v>
      </c>
      <c r="I134" s="16">
        <f t="shared" si="36"/>
        <v>41115068.514355965</v>
      </c>
      <c r="J134" s="16">
        <f t="shared" si="36"/>
        <v>172764602.417077</v>
      </c>
      <c r="K134" s="16">
        <f t="shared" si="36"/>
        <v>1411334.2174293427</v>
      </c>
      <c r="L134" s="16">
        <f t="shared" si="36"/>
        <v>1154157.001485232</v>
      </c>
      <c r="M134" s="16">
        <f t="shared" si="36"/>
        <v>658263.30662482791</v>
      </c>
      <c r="N134" s="16">
        <f t="shared" si="36"/>
        <v>5759989.3130552825</v>
      </c>
      <c r="O134" s="16">
        <f t="shared" si="36"/>
        <v>788186.98682331073</v>
      </c>
      <c r="P134" s="16">
        <f t="shared" si="33"/>
        <v>789598420.40807271</v>
      </c>
      <c r="Q134" s="34"/>
    </row>
    <row r="135" spans="1:17" x14ac:dyDescent="0.3">
      <c r="B135" t="s">
        <v>52</v>
      </c>
      <c r="C135" s="16">
        <f t="shared" ref="C135:O135" si="37">SUM(C85:C88)</f>
        <v>29032.239999999998</v>
      </c>
      <c r="D135" s="16">
        <f t="shared" si="37"/>
        <v>192.55859999999996</v>
      </c>
      <c r="E135" s="16">
        <f t="shared" si="37"/>
        <v>238.07220000000001</v>
      </c>
      <c r="F135" s="16">
        <f t="shared" si="37"/>
        <v>826.55200000000002</v>
      </c>
      <c r="G135" s="16">
        <f t="shared" si="37"/>
        <v>24716.63</v>
      </c>
      <c r="H135" s="16">
        <f t="shared" si="37"/>
        <v>667706</v>
      </c>
      <c r="I135" s="16">
        <f t="shared" si="37"/>
        <v>80884.92</v>
      </c>
      <c r="J135" s="16">
        <f t="shared" si="37"/>
        <v>180942</v>
      </c>
      <c r="K135" s="16">
        <f t="shared" si="37"/>
        <v>1145.002</v>
      </c>
      <c r="L135" s="16">
        <f t="shared" si="37"/>
        <v>1514.136</v>
      </c>
      <c r="M135" s="16">
        <f t="shared" si="37"/>
        <v>645.06920000000002</v>
      </c>
      <c r="N135" s="16">
        <f t="shared" si="37"/>
        <v>7420.61</v>
      </c>
      <c r="O135" s="16">
        <f t="shared" si="37"/>
        <v>993.02900000000011</v>
      </c>
      <c r="P135" s="16">
        <f t="shared" si="33"/>
        <v>996256.81900000002</v>
      </c>
    </row>
    <row r="136" spans="1:17" x14ac:dyDescent="0.3">
      <c r="A136" t="s">
        <v>19</v>
      </c>
      <c r="B136" t="s">
        <v>50</v>
      </c>
      <c r="C136" s="16">
        <f t="shared" ref="C136:O136" si="38">C58</f>
        <v>150889.20000000001</v>
      </c>
      <c r="D136" s="16">
        <f t="shared" si="38"/>
        <v>558.34799999999996</v>
      </c>
      <c r="E136" s="16">
        <f t="shared" si="38"/>
        <v>13446.72</v>
      </c>
      <c r="F136" s="16">
        <f t="shared" si="38"/>
        <v>1317.624</v>
      </c>
      <c r="G136" s="16">
        <f t="shared" si="38"/>
        <v>19049.52</v>
      </c>
      <c r="H136" s="16">
        <f t="shared" si="38"/>
        <v>3071880</v>
      </c>
      <c r="I136" s="16">
        <f t="shared" si="38"/>
        <v>43276.800000000003</v>
      </c>
      <c r="J136" s="16">
        <f t="shared" si="38"/>
        <v>343896</v>
      </c>
      <c r="K136" s="16">
        <f t="shared" si="38"/>
        <v>14296.8</v>
      </c>
      <c r="L136" s="16">
        <f t="shared" si="38"/>
        <v>10703.28</v>
      </c>
      <c r="M136" s="16">
        <f t="shared" si="38"/>
        <v>3999.2399999999993</v>
      </c>
      <c r="N136" s="16">
        <f t="shared" si="38"/>
        <v>15340.08</v>
      </c>
      <c r="O136" s="16">
        <f t="shared" si="38"/>
        <v>9138.36</v>
      </c>
      <c r="P136" s="16">
        <f t="shared" si="33"/>
        <v>3697791.9719999996</v>
      </c>
    </row>
    <row r="137" spans="1:17" x14ac:dyDescent="0.3">
      <c r="B137" t="s">
        <v>51</v>
      </c>
      <c r="C137" s="16">
        <f t="shared" ref="C137:O137" si="39">SUM(C107:C110)</f>
        <v>21617616.373996157</v>
      </c>
      <c r="D137" s="16">
        <f t="shared" si="39"/>
        <v>87025.701644358895</v>
      </c>
      <c r="E137" s="16">
        <f t="shared" si="39"/>
        <v>1242028.5259807322</v>
      </c>
      <c r="F137" s="16">
        <f t="shared" si="39"/>
        <v>204512.76545485843</v>
      </c>
      <c r="G137" s="16">
        <f t="shared" si="39"/>
        <v>6392289.9274212141</v>
      </c>
      <c r="H137" s="16">
        <f t="shared" si="39"/>
        <v>433699499.05382872</v>
      </c>
      <c r="I137" s="16">
        <f t="shared" si="39"/>
        <v>18707176.372142356</v>
      </c>
      <c r="J137" s="16">
        <f t="shared" si="39"/>
        <v>60648178.345949158</v>
      </c>
      <c r="K137" s="16">
        <f t="shared" si="39"/>
        <v>1595380.5592093687</v>
      </c>
      <c r="L137" s="16">
        <f t="shared" si="39"/>
        <v>1685582.2061633475</v>
      </c>
      <c r="M137" s="16">
        <f t="shared" si="39"/>
        <v>508368.36800490716</v>
      </c>
      <c r="N137" s="16">
        <f t="shared" si="39"/>
        <v>4471421.5300698951</v>
      </c>
      <c r="O137" s="16">
        <f t="shared" si="39"/>
        <v>1238099.6651779008</v>
      </c>
      <c r="P137" s="16">
        <f t="shared" si="33"/>
        <v>552097179.39504313</v>
      </c>
      <c r="Q137" s="34"/>
    </row>
    <row r="138" spans="1:17" x14ac:dyDescent="0.3">
      <c r="B138" t="s">
        <v>52</v>
      </c>
      <c r="C138" s="16">
        <f t="shared" ref="C138:O138" si="40">SUM(C89:C92)</f>
        <v>29950.041666666668</v>
      </c>
      <c r="D138" s="16">
        <f t="shared" si="40"/>
        <v>129.15891666666664</v>
      </c>
      <c r="E138" s="16">
        <f t="shared" si="40"/>
        <v>856.77987499999995</v>
      </c>
      <c r="F138" s="16">
        <f t="shared" si="40"/>
        <v>303.13229166666673</v>
      </c>
      <c r="G138" s="16">
        <f t="shared" si="40"/>
        <v>11410.759833333334</v>
      </c>
      <c r="H138" s="16">
        <f t="shared" si="40"/>
        <v>604527.5</v>
      </c>
      <c r="I138" s="16">
        <f t="shared" si="40"/>
        <v>41843.343333333331</v>
      </c>
      <c r="J138" s="16">
        <f t="shared" si="40"/>
        <v>98530.741666666669</v>
      </c>
      <c r="K138" s="16">
        <f t="shared" si="40"/>
        <v>2013.2064083333332</v>
      </c>
      <c r="L138" s="16">
        <f t="shared" si="40"/>
        <v>2529.1943333333334</v>
      </c>
      <c r="M138" s="16">
        <f t="shared" si="40"/>
        <v>658.94799999999998</v>
      </c>
      <c r="N138" s="16">
        <f t="shared" si="40"/>
        <v>7941.1458333333339</v>
      </c>
      <c r="O138" s="16">
        <f t="shared" si="40"/>
        <v>1911.0908333333332</v>
      </c>
      <c r="P138" s="16">
        <f t="shared" si="33"/>
        <v>802605.04299166671</v>
      </c>
    </row>
    <row r="139" spans="1:17" x14ac:dyDescent="0.3">
      <c r="A139" t="s">
        <v>251</v>
      </c>
      <c r="B139" t="s">
        <v>50</v>
      </c>
      <c r="C139" s="16">
        <f>C123</f>
        <v>31980.947520626007</v>
      </c>
      <c r="D139" s="16">
        <f t="shared" ref="D139:O139" si="41">D123</f>
        <v>2585.6936293272092</v>
      </c>
      <c r="E139" s="16">
        <f t="shared" si="41"/>
        <v>0</v>
      </c>
      <c r="F139" s="16">
        <f t="shared" si="41"/>
        <v>18372.033682061749</v>
      </c>
      <c r="G139" s="16">
        <f t="shared" si="41"/>
        <v>194199.20047631199</v>
      </c>
      <c r="H139" s="16">
        <f t="shared" si="41"/>
        <v>677723.90916050016</v>
      </c>
      <c r="I139" s="16">
        <f t="shared" si="41"/>
        <v>196376.62669048226</v>
      </c>
      <c r="J139" s="16">
        <f t="shared" si="41"/>
        <v>290005.95389980439</v>
      </c>
      <c r="K139" s="16">
        <f t="shared" si="41"/>
        <v>36063.621672195288</v>
      </c>
      <c r="L139" s="16">
        <f t="shared" si="41"/>
        <v>61512.290550310456</v>
      </c>
      <c r="M139" s="16">
        <f t="shared" si="41"/>
        <v>20413.370757846387</v>
      </c>
      <c r="N139" s="16">
        <f t="shared" si="41"/>
        <v>42459.811176320487</v>
      </c>
      <c r="O139" s="16">
        <f t="shared" si="41"/>
        <v>28306.540784213656</v>
      </c>
      <c r="P139" s="16">
        <f t="shared" si="33"/>
        <v>1600000</v>
      </c>
      <c r="Q139" s="34"/>
    </row>
    <row r="140" spans="1:17" x14ac:dyDescent="0.3">
      <c r="B140" t="s">
        <v>51</v>
      </c>
      <c r="C140" s="16">
        <f>C139-C141</f>
        <v>15332.914183904795</v>
      </c>
      <c r="D140" s="16">
        <f t="shared" ref="D140:O140" si="42">D139-D141</f>
        <v>1233.9302387387347</v>
      </c>
      <c r="E140" s="16">
        <f t="shared" si="42"/>
        <v>0</v>
      </c>
      <c r="F140" s="16">
        <f t="shared" si="42"/>
        <v>8767.3990647225892</v>
      </c>
      <c r="G140" s="16">
        <f t="shared" si="42"/>
        <v>92674.655298956583</v>
      </c>
      <c r="H140" s="16">
        <f t="shared" si="42"/>
        <v>323419.60994310008</v>
      </c>
      <c r="I140" s="16">
        <f t="shared" si="42"/>
        <v>93713.754447368119</v>
      </c>
      <c r="J140" s="16">
        <f t="shared" si="42"/>
        <v>274780.82939528156</v>
      </c>
      <c r="K140" s="16">
        <f t="shared" si="42"/>
        <v>17210.079645566566</v>
      </c>
      <c r="L140" s="16">
        <f t="shared" si="42"/>
        <v>29354.550942626749</v>
      </c>
      <c r="M140" s="16">
        <f t="shared" si="42"/>
        <v>9741.554516358432</v>
      </c>
      <c r="N140" s="16">
        <f t="shared" si="42"/>
        <v>20262.433394025538</v>
      </c>
      <c r="O140" s="16">
        <f t="shared" si="42"/>
        <v>13508.288929350356</v>
      </c>
      <c r="P140" s="16">
        <f t="shared" si="33"/>
        <v>900000.00000000012</v>
      </c>
      <c r="Q140" s="34"/>
    </row>
    <row r="141" spans="1:17" x14ac:dyDescent="0.3">
      <c r="B141" t="s">
        <v>52</v>
      </c>
      <c r="C141" s="16">
        <f>C124</f>
        <v>16648.033336721212</v>
      </c>
      <c r="D141" s="16">
        <f t="shared" ref="D141:O141" si="43">D124</f>
        <v>1351.7633905884745</v>
      </c>
      <c r="E141" s="16">
        <f t="shared" si="43"/>
        <v>0</v>
      </c>
      <c r="F141" s="16">
        <f t="shared" si="43"/>
        <v>9604.6346173391594</v>
      </c>
      <c r="G141" s="16">
        <f t="shared" si="43"/>
        <v>101524.54517735541</v>
      </c>
      <c r="H141" s="16">
        <f t="shared" si="43"/>
        <v>354304.29921740008</v>
      </c>
      <c r="I141" s="16">
        <f t="shared" si="43"/>
        <v>102662.87224311414</v>
      </c>
      <c r="J141" s="16">
        <f t="shared" si="43"/>
        <v>15225.124504522817</v>
      </c>
      <c r="K141" s="16">
        <f t="shared" si="43"/>
        <v>18853.542026628722</v>
      </c>
      <c r="L141" s="16">
        <f t="shared" si="43"/>
        <v>32157.739607683707</v>
      </c>
      <c r="M141" s="16">
        <f t="shared" si="43"/>
        <v>10671.816241487955</v>
      </c>
      <c r="N141" s="16">
        <f t="shared" si="43"/>
        <v>22197.377782294949</v>
      </c>
      <c r="O141" s="16">
        <f t="shared" si="43"/>
        <v>14798.2518548633</v>
      </c>
      <c r="P141" s="16">
        <f t="shared" si="33"/>
        <v>700000</v>
      </c>
      <c r="Q141" s="34"/>
    </row>
    <row r="142" spans="1:17" x14ac:dyDescent="0.3">
      <c r="A142" t="s">
        <v>22</v>
      </c>
      <c r="B142" t="s">
        <v>50</v>
      </c>
      <c r="C142" s="16">
        <f>C130+C133+C136+C139</f>
        <v>543627.64752062596</v>
      </c>
      <c r="D142" s="16">
        <f t="shared" ref="D142:O142" si="44">D130+D133+D136+D139</f>
        <v>7333.5516293272094</v>
      </c>
      <c r="E142" s="16">
        <f t="shared" si="44"/>
        <v>15422.308999999999</v>
      </c>
      <c r="F142" s="16">
        <f t="shared" si="44"/>
        <v>33768.277682061744</v>
      </c>
      <c r="G142" s="16">
        <f t="shared" si="44"/>
        <v>453384.82047631196</v>
      </c>
      <c r="H142" s="16">
        <f t="shared" si="44"/>
        <v>12920353.9091605</v>
      </c>
      <c r="I142" s="16">
        <f t="shared" si="44"/>
        <v>870718.82669048221</v>
      </c>
      <c r="J142" s="16">
        <f t="shared" si="44"/>
        <v>4793769.9538998045</v>
      </c>
      <c r="K142" s="16">
        <f t="shared" si="44"/>
        <v>83912.791672195279</v>
      </c>
      <c r="L142" s="16">
        <f t="shared" si="44"/>
        <v>90821.380550310452</v>
      </c>
      <c r="M142" s="16">
        <f t="shared" si="44"/>
        <v>36610.190757846387</v>
      </c>
      <c r="N142" s="16">
        <f t="shared" si="44"/>
        <v>159834.79117632049</v>
      </c>
      <c r="O142" s="16">
        <f t="shared" si="44"/>
        <v>50944.390784213654</v>
      </c>
      <c r="P142" s="16">
        <f>SUM(C142:O142)</f>
        <v>20060502.841000002</v>
      </c>
    </row>
    <row r="143" spans="1:17" x14ac:dyDescent="0.3">
      <c r="B143" t="s">
        <v>51</v>
      </c>
      <c r="C143" s="16">
        <f>C131+C134+C137+C140</f>
        <v>63186448.875033833</v>
      </c>
      <c r="D143" s="16">
        <f t="shared" ref="D143:O143" si="45">D131+D134+D137+D140</f>
        <v>525583.27007738512</v>
      </c>
      <c r="E143" s="16">
        <f t="shared" si="45"/>
        <v>1476016.5814925374</v>
      </c>
      <c r="F143" s="16">
        <f t="shared" si="45"/>
        <v>1717736.4421797625</v>
      </c>
      <c r="G143" s="16">
        <f t="shared" si="45"/>
        <v>42816122.743338995</v>
      </c>
      <c r="H143" s="16">
        <f t="shared" si="45"/>
        <v>1432590680.8280704</v>
      </c>
      <c r="I143" s="16">
        <f t="shared" si="45"/>
        <v>128907691.90522043</v>
      </c>
      <c r="J143" s="16">
        <f t="shared" si="45"/>
        <v>424020282.06495392</v>
      </c>
      <c r="K143" s="16">
        <f t="shared" si="45"/>
        <v>4184919.4405601802</v>
      </c>
      <c r="L143" s="16">
        <f t="shared" si="45"/>
        <v>6256719.9655583669</v>
      </c>
      <c r="M143" s="16">
        <f t="shared" si="45"/>
        <v>1704905.150093358</v>
      </c>
      <c r="N143" s="16">
        <f t="shared" si="45"/>
        <v>15115369.272564258</v>
      </c>
      <c r="O143" s="16">
        <f t="shared" si="45"/>
        <v>2645636.0050431509</v>
      </c>
      <c r="P143" s="16">
        <f>SUM(C143:O143)</f>
        <v>2125148112.5441864</v>
      </c>
      <c r="Q143" s="1"/>
    </row>
    <row r="144" spans="1:17" x14ac:dyDescent="0.3">
      <c r="B144" t="s">
        <v>52</v>
      </c>
      <c r="C144" s="16">
        <f>C132+C135+C138+C141</f>
        <v>86729.485003387876</v>
      </c>
      <c r="D144" s="16">
        <f t="shared" ref="D144:O144" si="46">D132+D135+D138+D141</f>
        <v>1834.2805072551412</v>
      </c>
      <c r="E144" s="16">
        <f t="shared" si="46"/>
        <v>1130.3397749999999</v>
      </c>
      <c r="F144" s="16">
        <f t="shared" si="46"/>
        <v>11216.342909005827</v>
      </c>
      <c r="G144" s="16">
        <f t="shared" si="46"/>
        <v>155497.99501068873</v>
      </c>
      <c r="H144" s="16">
        <f t="shared" si="46"/>
        <v>1883257.7992174001</v>
      </c>
      <c r="I144" s="16">
        <f t="shared" si="46"/>
        <v>276010.93557644746</v>
      </c>
      <c r="J144" s="16">
        <f t="shared" si="46"/>
        <v>373350.76617118949</v>
      </c>
      <c r="K144" s="16">
        <f t="shared" si="46"/>
        <v>22354.454884962055</v>
      </c>
      <c r="L144" s="16">
        <f t="shared" si="46"/>
        <v>39136.861941017036</v>
      </c>
      <c r="M144" s="16">
        <f t="shared" si="46"/>
        <v>12240.553441487955</v>
      </c>
      <c r="N144" s="16">
        <f t="shared" si="46"/>
        <v>40164.633615628285</v>
      </c>
      <c r="O144" s="16">
        <f t="shared" si="46"/>
        <v>18022.054688196633</v>
      </c>
      <c r="P144" s="16">
        <f>SUM(C144:O144)</f>
        <v>2920946.502741667</v>
      </c>
    </row>
    <row r="146" spans="16:16" x14ac:dyDescent="0.3">
      <c r="P146" s="1"/>
    </row>
  </sheetData>
  <mergeCells count="2">
    <mergeCell ref="BH64:BT64"/>
    <mergeCell ref="BH63:CT63"/>
  </mergeCells>
  <pageMargins left="0.7" right="0.7" top="0.75" bottom="0.75" header="0.3" footer="0.3"/>
  <pageSetup paperSize="9" orientation="portrait" r:id="rId1"/>
  <ignoredErrors>
    <ignoredError sqref="D64:D7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CEAE-23E9-4456-97A5-67C010A57CE5}">
  <dimension ref="A2:AM140"/>
  <sheetViews>
    <sheetView zoomScale="48" zoomScaleNormal="85" workbookViewId="0">
      <selection activeCell="D103" sqref="D103"/>
    </sheetView>
  </sheetViews>
  <sheetFormatPr defaultRowHeight="14.4" x14ac:dyDescent="0.3"/>
  <cols>
    <col min="1" max="1" width="28.44140625" customWidth="1"/>
    <col min="2" max="15" width="19.6640625" customWidth="1"/>
    <col min="16" max="16" width="10.33203125" bestFit="1" customWidth="1"/>
    <col min="18" max="18" width="9.109375" bestFit="1" customWidth="1"/>
    <col min="20" max="20" width="9.109375" bestFit="1" customWidth="1"/>
    <col min="23" max="23" width="13.5546875" bestFit="1" customWidth="1"/>
    <col min="24" max="24" width="9.109375" bestFit="1" customWidth="1"/>
    <col min="27" max="27" width="9" bestFit="1" customWidth="1"/>
    <col min="30" max="30" width="15.44140625" bestFit="1" customWidth="1"/>
    <col min="36" max="36" width="15.44140625" bestFit="1" customWidth="1"/>
  </cols>
  <sheetData>
    <row r="2" spans="1:15" ht="28.8" x14ac:dyDescent="0.3">
      <c r="A2" s="10" t="s">
        <v>152</v>
      </c>
      <c r="B2" s="9" t="s">
        <v>177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51.75" customHeight="1" x14ac:dyDescent="0.3">
      <c r="A3" s="27"/>
      <c r="B3" s="72" t="s">
        <v>175</v>
      </c>
      <c r="C3" s="72"/>
      <c r="D3" s="73" t="s">
        <v>234</v>
      </c>
      <c r="E3" s="72"/>
      <c r="F3" s="74" t="s">
        <v>176</v>
      </c>
      <c r="G3" s="75"/>
    </row>
    <row r="4" spans="1:15" x14ac:dyDescent="0.3">
      <c r="B4" s="47" t="s">
        <v>54</v>
      </c>
      <c r="C4" s="48" t="s">
        <v>53</v>
      </c>
      <c r="D4" s="21" t="s">
        <v>54</v>
      </c>
      <c r="E4" s="21" t="s">
        <v>53</v>
      </c>
      <c r="F4" s="47" t="s">
        <v>54</v>
      </c>
      <c r="G4" s="21" t="s">
        <v>53</v>
      </c>
      <c r="K4" s="21"/>
    </row>
    <row r="5" spans="1:15" x14ac:dyDescent="0.3">
      <c r="A5" t="s">
        <v>144</v>
      </c>
      <c r="B5" s="36">
        <f>(B62+(E62*0.78))/(SUM(B42:B90)+(SUM(E42:E90)*0.78))</f>
        <v>0.70995953746468854</v>
      </c>
      <c r="C5" s="37">
        <f>1-B5</f>
        <v>0.29004046253531146</v>
      </c>
      <c r="D5" s="36">
        <f>1-E5</f>
        <v>0.5074613764044944</v>
      </c>
      <c r="E5" s="23">
        <f>SUM(D95:D97)/SUM(E95:E97)</f>
        <v>0.4925386235955056</v>
      </c>
      <c r="F5" s="36">
        <f>1-G5</f>
        <v>0.2857142857142857</v>
      </c>
      <c r="G5" s="23">
        <f>1/(1+0.4)</f>
        <v>0.7142857142857143</v>
      </c>
      <c r="M5" s="34"/>
    </row>
    <row r="6" spans="1:15" x14ac:dyDescent="0.3">
      <c r="A6" t="s">
        <v>145</v>
      </c>
      <c r="B6" s="36">
        <f>(C62+(E62*0.06))/(SUM(C42:C90)+(SUM(E42:E90)*0.06))</f>
        <v>0.66979717905292702</v>
      </c>
      <c r="C6" s="37">
        <f t="shared" ref="C6:C7" si="0">1-B6</f>
        <v>0.33020282094707298</v>
      </c>
      <c r="D6" s="36">
        <f>1-E6</f>
        <v>0.24372759856630821</v>
      </c>
      <c r="E6" s="23">
        <f>D98/E98</f>
        <v>0.75627240143369179</v>
      </c>
      <c r="F6" s="36" t="s">
        <v>60</v>
      </c>
      <c r="G6" s="23" t="s">
        <v>60</v>
      </c>
      <c r="M6" s="34"/>
    </row>
    <row r="7" spans="1:15" x14ac:dyDescent="0.3">
      <c r="A7" t="s">
        <v>146</v>
      </c>
      <c r="B7" s="36">
        <f>(D62+(E62*0.16))/(SUM(D42:D90)+(SUM(E42:E90)*0.16))</f>
        <v>0.66555238660608484</v>
      </c>
      <c r="C7" s="37">
        <f t="shared" si="0"/>
        <v>0.33444761339391516</v>
      </c>
      <c r="D7" s="36">
        <f>1-E7</f>
        <v>0.2325491708445816</v>
      </c>
      <c r="E7" s="23">
        <f>D99/E99</f>
        <v>0.7674508291554184</v>
      </c>
      <c r="F7" s="36" t="s">
        <v>60</v>
      </c>
      <c r="G7" s="23" t="s">
        <v>60</v>
      </c>
      <c r="M7" s="34"/>
    </row>
    <row r="8" spans="1:15" x14ac:dyDescent="0.3">
      <c r="A8" t="s">
        <v>3</v>
      </c>
      <c r="B8" s="36" t="s">
        <v>60</v>
      </c>
      <c r="C8" s="37" t="s">
        <v>60</v>
      </c>
      <c r="D8" s="36" t="s">
        <v>60</v>
      </c>
      <c r="E8" s="23" t="s">
        <v>60</v>
      </c>
      <c r="F8" s="36" t="s">
        <v>60</v>
      </c>
      <c r="G8" s="23" t="s">
        <v>60</v>
      </c>
      <c r="M8" s="34"/>
    </row>
    <row r="9" spans="1:15" x14ac:dyDescent="0.3">
      <c r="A9" t="s">
        <v>147</v>
      </c>
      <c r="B9" s="36">
        <f>F62/SUM(F42:F90)</f>
        <v>0.61434991487349477</v>
      </c>
      <c r="C9" s="37">
        <f>1-B9</f>
        <v>0.38565008512650523</v>
      </c>
      <c r="D9" s="36">
        <f t="shared" ref="D9:D15" si="1">1-E9</f>
        <v>0.19880461078696454</v>
      </c>
      <c r="E9" s="23">
        <f>SUM(D100:D105)/SUM(E100:E105)</f>
        <v>0.80119538921303546</v>
      </c>
      <c r="F9" s="36" t="s">
        <v>60</v>
      </c>
      <c r="G9" s="23" t="s">
        <v>60</v>
      </c>
      <c r="M9" s="34"/>
    </row>
    <row r="10" spans="1:15" x14ac:dyDescent="0.3">
      <c r="A10" t="s">
        <v>148</v>
      </c>
      <c r="B10" s="36" t="s">
        <v>60</v>
      </c>
      <c r="C10" s="37" t="s">
        <v>60</v>
      </c>
      <c r="D10" s="43">
        <f t="shared" si="1"/>
        <v>0.91265427194236981</v>
      </c>
      <c r="E10" s="23">
        <f>SUM(D106:D109)/SUM(E106:E109)</f>
        <v>8.7345728057630176E-2</v>
      </c>
      <c r="F10" s="36">
        <v>1</v>
      </c>
      <c r="G10" s="23">
        <f>1-F10</f>
        <v>0</v>
      </c>
      <c r="M10" s="34"/>
    </row>
    <row r="11" spans="1:15" x14ac:dyDescent="0.3">
      <c r="A11" t="s">
        <v>16</v>
      </c>
      <c r="B11" s="36">
        <f>G62/SUM(G42:G90)</f>
        <v>0.90869584409264925</v>
      </c>
      <c r="C11" s="37">
        <f>1-B11</f>
        <v>9.1304155907350748E-2</v>
      </c>
      <c r="D11" s="36">
        <f t="shared" si="1"/>
        <v>0.48958333333333337</v>
      </c>
      <c r="E11" s="23">
        <f>D110/E110</f>
        <v>0.51041666666666663</v>
      </c>
      <c r="F11" s="36">
        <f>1-G11</f>
        <v>0.92931392931392931</v>
      </c>
      <c r="G11" s="23">
        <f>68000/(894000+68000)</f>
        <v>7.068607068607069E-2</v>
      </c>
    </row>
    <row r="12" spans="1:15" x14ac:dyDescent="0.3">
      <c r="A12" t="s">
        <v>86</v>
      </c>
      <c r="B12" s="36" t="s">
        <v>60</v>
      </c>
      <c r="C12" s="37" t="s">
        <v>60</v>
      </c>
      <c r="D12" s="36">
        <f t="shared" si="1"/>
        <v>0.57950974046057857</v>
      </c>
      <c r="E12" s="23">
        <f>((D111/E111)*G111)+((D112/E112)*G112)+(1*G113)</f>
        <v>0.42049025953942143</v>
      </c>
      <c r="F12" s="36" t="s">
        <v>60</v>
      </c>
      <c r="G12" s="23" t="s">
        <v>60</v>
      </c>
    </row>
    <row r="13" spans="1:15" x14ac:dyDescent="0.3">
      <c r="A13" t="s">
        <v>149</v>
      </c>
      <c r="B13" s="36">
        <f>H62/SUM(H42:H90)</f>
        <v>0</v>
      </c>
      <c r="C13" s="37">
        <f>1-B13</f>
        <v>1</v>
      </c>
      <c r="D13" s="36">
        <f t="shared" si="1"/>
        <v>0.33615819209039544</v>
      </c>
      <c r="E13" s="23">
        <f>D114/E114</f>
        <v>0.66384180790960456</v>
      </c>
      <c r="F13" s="36" t="s">
        <v>60</v>
      </c>
      <c r="G13" s="23" t="s">
        <v>60</v>
      </c>
    </row>
    <row r="14" spans="1:15" x14ac:dyDescent="0.3">
      <c r="A14" t="s">
        <v>150</v>
      </c>
      <c r="B14" s="36">
        <v>8.6999999999999994E-2</v>
      </c>
      <c r="C14" s="37">
        <f>1-B14</f>
        <v>0.91300000000000003</v>
      </c>
      <c r="D14" s="36">
        <f t="shared" si="1"/>
        <v>0.49620211360634081</v>
      </c>
      <c r="E14" s="23">
        <f>D115/E115</f>
        <v>0.50379788639365919</v>
      </c>
      <c r="F14" s="36" t="s">
        <v>60</v>
      </c>
      <c r="G14" s="23" t="s">
        <v>60</v>
      </c>
    </row>
    <row r="15" spans="1:15" x14ac:dyDescent="0.3">
      <c r="A15" t="s">
        <v>151</v>
      </c>
      <c r="B15" s="36">
        <f>J62/SUM(J42:J90)</f>
        <v>0.40970338842387766</v>
      </c>
      <c r="C15" s="37">
        <f>1-B15</f>
        <v>0.59029661157612234</v>
      </c>
      <c r="D15" s="36">
        <f t="shared" si="1"/>
        <v>0.64782608695652177</v>
      </c>
      <c r="E15" s="23">
        <f>D116/E116</f>
        <v>0.35217391304347828</v>
      </c>
      <c r="F15" s="36" t="s">
        <v>60</v>
      </c>
      <c r="G15" s="23" t="s">
        <v>60</v>
      </c>
    </row>
    <row r="16" spans="1:15" x14ac:dyDescent="0.3">
      <c r="A16" t="s">
        <v>9</v>
      </c>
      <c r="B16" s="36" t="s">
        <v>60</v>
      </c>
      <c r="C16" s="37" t="s">
        <v>60</v>
      </c>
      <c r="D16" s="23" t="s">
        <v>60</v>
      </c>
      <c r="E16" s="23" t="s">
        <v>60</v>
      </c>
      <c r="F16" s="36" t="s">
        <v>60</v>
      </c>
      <c r="G16" s="23" t="s">
        <v>60</v>
      </c>
    </row>
    <row r="17" spans="1:15" x14ac:dyDescent="0.3">
      <c r="A17" t="s">
        <v>87</v>
      </c>
      <c r="B17" s="36" t="s">
        <v>60</v>
      </c>
      <c r="C17" s="37" t="s">
        <v>60</v>
      </c>
      <c r="D17" s="23" t="s">
        <v>60</v>
      </c>
      <c r="E17" s="23" t="s">
        <v>60</v>
      </c>
      <c r="F17" s="36" t="s">
        <v>60</v>
      </c>
      <c r="G17" s="23" t="s">
        <v>60</v>
      </c>
    </row>
    <row r="20" spans="1:15" ht="43.2" x14ac:dyDescent="0.3">
      <c r="A20" s="10" t="s">
        <v>178</v>
      </c>
      <c r="B20" s="9" t="s">
        <v>153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43.2" x14ac:dyDescent="0.3">
      <c r="B21" s="49" t="s">
        <v>155</v>
      </c>
    </row>
    <row r="22" spans="1:15" x14ac:dyDescent="0.3">
      <c r="A22" t="s">
        <v>15</v>
      </c>
      <c r="B22" s="23">
        <f>665/(260+665)</f>
        <v>0.7189189189189189</v>
      </c>
    </row>
    <row r="23" spans="1:15" x14ac:dyDescent="0.3">
      <c r="A23" t="s">
        <v>1</v>
      </c>
      <c r="B23" s="23">
        <f>5/(10+5)</f>
        <v>0.33333333333333331</v>
      </c>
    </row>
    <row r="24" spans="1:15" x14ac:dyDescent="0.3">
      <c r="A24" t="s">
        <v>2</v>
      </c>
      <c r="B24" s="23">
        <f>5/(25+5)</f>
        <v>0.16666666666666666</v>
      </c>
    </row>
    <row r="25" spans="1:15" x14ac:dyDescent="0.3">
      <c r="A25" t="s">
        <v>3</v>
      </c>
      <c r="B25" s="23" t="s">
        <v>60</v>
      </c>
    </row>
    <row r="26" spans="1:15" x14ac:dyDescent="0.3">
      <c r="A26" t="s">
        <v>4</v>
      </c>
      <c r="B26" s="23">
        <f>15/(15+370)</f>
        <v>3.896103896103896E-2</v>
      </c>
    </row>
    <row r="27" spans="1:15" x14ac:dyDescent="0.3">
      <c r="A27" t="s">
        <v>5</v>
      </c>
      <c r="B27" s="23">
        <f>545/(16105+545)</f>
        <v>3.2732732732732736E-2</v>
      </c>
    </row>
    <row r="28" spans="1:15" ht="43.2" customHeight="1" x14ac:dyDescent="0.3">
      <c r="A28" t="s">
        <v>16</v>
      </c>
      <c r="B28" s="23">
        <v>0</v>
      </c>
    </row>
    <row r="29" spans="1:15" x14ac:dyDescent="0.3">
      <c r="A29" t="s">
        <v>239</v>
      </c>
      <c r="B29" s="58">
        <f>425/(425+425)</f>
        <v>0.5</v>
      </c>
    </row>
    <row r="30" spans="1:15" x14ac:dyDescent="0.3">
      <c r="A30" t="s">
        <v>240</v>
      </c>
      <c r="B30" s="58">
        <f>25/(25+420)</f>
        <v>5.6179775280898875E-2</v>
      </c>
    </row>
    <row r="31" spans="1:15" x14ac:dyDescent="0.3">
      <c r="A31" t="s">
        <v>241</v>
      </c>
      <c r="B31" s="58">
        <f>40/(40+680)</f>
        <v>5.5555555555555552E-2</v>
      </c>
    </row>
    <row r="32" spans="1:15" x14ac:dyDescent="0.3">
      <c r="A32" t="s">
        <v>6</v>
      </c>
      <c r="B32" s="23">
        <f>30/(200+30)</f>
        <v>0.13043478260869565</v>
      </c>
    </row>
    <row r="33" spans="1:15" x14ac:dyDescent="0.3">
      <c r="A33" t="s">
        <v>154</v>
      </c>
      <c r="B33" s="23">
        <v>0</v>
      </c>
    </row>
    <row r="34" spans="1:15" x14ac:dyDescent="0.3">
      <c r="A34" t="s">
        <v>8</v>
      </c>
      <c r="B34" s="23">
        <f>5/(60+5+5)</f>
        <v>7.1428571428571425E-2</v>
      </c>
    </row>
    <row r="35" spans="1:15" ht="14.4" customHeight="1" x14ac:dyDescent="0.3">
      <c r="A35" t="s">
        <v>9</v>
      </c>
      <c r="B35" s="23">
        <f>95/(405+95)</f>
        <v>0.19</v>
      </c>
    </row>
    <row r="36" spans="1:15" x14ac:dyDescent="0.3">
      <c r="A36" t="s">
        <v>87</v>
      </c>
      <c r="B36" s="23" t="s">
        <v>60</v>
      </c>
    </row>
    <row r="39" spans="1:15" ht="43.2" x14ac:dyDescent="0.3">
      <c r="A39" s="10" t="s">
        <v>156</v>
      </c>
      <c r="B39" s="9" t="s">
        <v>179</v>
      </c>
      <c r="C39" s="9"/>
      <c r="D39" s="38"/>
      <c r="E39" s="38"/>
      <c r="F39" s="38"/>
      <c r="G39" s="38"/>
      <c r="H39" s="39"/>
      <c r="I39" s="9"/>
      <c r="J39" s="9"/>
      <c r="K39" s="9"/>
      <c r="L39" s="9"/>
      <c r="M39" s="9"/>
      <c r="N39" s="9"/>
      <c r="O39" s="9"/>
    </row>
    <row r="40" spans="1:15" x14ac:dyDescent="0.3">
      <c r="A40" s="3" t="s">
        <v>141</v>
      </c>
      <c r="B40" s="76" t="s">
        <v>142</v>
      </c>
      <c r="C40" s="76"/>
      <c r="D40" s="76"/>
      <c r="E40" s="76"/>
      <c r="F40" s="76"/>
      <c r="G40" s="76"/>
      <c r="H40" s="76"/>
      <c r="I40" s="76"/>
      <c r="J40" s="76"/>
    </row>
    <row r="41" spans="1:15" ht="72" x14ac:dyDescent="0.3">
      <c r="B41" s="3" t="s">
        <v>118</v>
      </c>
      <c r="C41" s="3" t="s">
        <v>83</v>
      </c>
      <c r="D41" s="3" t="s">
        <v>82</v>
      </c>
      <c r="E41" s="3" t="s">
        <v>143</v>
      </c>
      <c r="F41" s="3" t="s">
        <v>85</v>
      </c>
      <c r="G41" s="3" t="s">
        <v>84</v>
      </c>
      <c r="H41" s="3" t="s">
        <v>81</v>
      </c>
      <c r="I41" s="3" t="s">
        <v>80</v>
      </c>
      <c r="J41" s="3" t="s">
        <v>119</v>
      </c>
    </row>
    <row r="42" spans="1:15" x14ac:dyDescent="0.3">
      <c r="A42" t="s">
        <v>180</v>
      </c>
      <c r="B42" s="16">
        <v>0</v>
      </c>
      <c r="C42" s="16">
        <v>869232.47971907002</v>
      </c>
      <c r="D42" s="16">
        <v>1797141.0023047</v>
      </c>
      <c r="E42" s="16">
        <v>11587304.376555299</v>
      </c>
      <c r="F42" s="16">
        <v>8308681.5820380999</v>
      </c>
      <c r="G42" s="16">
        <v>296910.77409706899</v>
      </c>
      <c r="H42" s="16">
        <v>0</v>
      </c>
      <c r="I42" s="16">
        <v>353481.89275416703</v>
      </c>
      <c r="J42" s="16">
        <v>11649312.0836423</v>
      </c>
    </row>
    <row r="43" spans="1:15" x14ac:dyDescent="0.3">
      <c r="A43" t="s">
        <v>181</v>
      </c>
      <c r="B43" s="16">
        <v>62874391.524450503</v>
      </c>
      <c r="C43" s="16">
        <v>22449493.034700502</v>
      </c>
      <c r="D43" s="16">
        <v>12578414.3298926</v>
      </c>
      <c r="E43" s="16">
        <v>196828677.99005201</v>
      </c>
      <c r="F43" s="16">
        <v>190944310.84108999</v>
      </c>
      <c r="G43" s="16">
        <v>23586690.333252899</v>
      </c>
      <c r="H43" s="16">
        <v>17076465.940272398</v>
      </c>
      <c r="I43" s="16">
        <v>949665.26139884896</v>
      </c>
      <c r="J43" s="16">
        <v>86683841.943095893</v>
      </c>
    </row>
    <row r="44" spans="1:15" x14ac:dyDescent="0.3">
      <c r="A44" t="s">
        <v>182</v>
      </c>
      <c r="B44" s="16">
        <v>0</v>
      </c>
      <c r="C44" s="16">
        <v>176189.22915903601</v>
      </c>
      <c r="D44" s="16">
        <v>192285.390988978</v>
      </c>
      <c r="E44" s="16">
        <v>1684207.4927149301</v>
      </c>
      <c r="F44" s="16">
        <v>806189.95869644301</v>
      </c>
      <c r="G44" s="16">
        <v>6180.6317876270796</v>
      </c>
      <c r="H44" s="16">
        <v>4.46734966091493E-2</v>
      </c>
      <c r="I44" s="16">
        <v>215403.79605184501</v>
      </c>
      <c r="J44" s="16">
        <v>2561337.10998957</v>
      </c>
    </row>
    <row r="45" spans="1:15" x14ac:dyDescent="0.3">
      <c r="A45" t="s">
        <v>183</v>
      </c>
      <c r="B45" s="16">
        <v>0</v>
      </c>
      <c r="C45" s="16">
        <v>48075.862415105803</v>
      </c>
      <c r="D45" s="16">
        <v>28784.2854822556</v>
      </c>
      <c r="E45" s="16">
        <v>617565.60989124305</v>
      </c>
      <c r="F45" s="16">
        <v>39869.210677180898</v>
      </c>
      <c r="G45" s="16">
        <v>0</v>
      </c>
      <c r="H45" s="16">
        <v>0</v>
      </c>
      <c r="I45" s="16">
        <v>13104.8568807461</v>
      </c>
      <c r="J45" s="16">
        <v>477156.72573334299</v>
      </c>
    </row>
    <row r="46" spans="1:15" x14ac:dyDescent="0.3">
      <c r="A46" t="s">
        <v>184</v>
      </c>
      <c r="B46" s="16">
        <v>2403026.2151865298</v>
      </c>
      <c r="C46" s="16">
        <v>212226.18150521201</v>
      </c>
      <c r="D46" s="16">
        <v>71393.9097995294</v>
      </c>
      <c r="E46" s="16">
        <v>13110902.8146122</v>
      </c>
      <c r="F46" s="16">
        <v>4404345.6557141598</v>
      </c>
      <c r="G46" s="16">
        <v>22959.5719927641</v>
      </c>
      <c r="H46" s="16">
        <v>517275.25083674601</v>
      </c>
      <c r="I46" s="16">
        <v>892169.42902544595</v>
      </c>
      <c r="J46" s="16">
        <v>7709685.8392432705</v>
      </c>
    </row>
    <row r="47" spans="1:15" x14ac:dyDescent="0.3">
      <c r="A47" t="s">
        <v>185</v>
      </c>
      <c r="B47" s="16">
        <v>191695403.52360901</v>
      </c>
      <c r="C47" s="16">
        <v>36740087.351561897</v>
      </c>
      <c r="D47" s="16">
        <v>20812442.750656601</v>
      </c>
      <c r="E47" s="16">
        <v>256583576.85765201</v>
      </c>
      <c r="F47" s="16">
        <v>150641317.41705099</v>
      </c>
      <c r="G47" s="16">
        <v>23566143.928648598</v>
      </c>
      <c r="H47" s="16">
        <v>27924132.572949201</v>
      </c>
      <c r="I47" s="16">
        <v>47163101.980412602</v>
      </c>
      <c r="J47" s="16">
        <v>283248728.59350502</v>
      </c>
    </row>
    <row r="48" spans="1:15" x14ac:dyDescent="0.3">
      <c r="A48" t="s">
        <v>186</v>
      </c>
      <c r="B48" s="16">
        <v>3952929.39056165</v>
      </c>
      <c r="C48" s="16">
        <v>73234.192952085199</v>
      </c>
      <c r="D48" s="16">
        <v>838095.59559343895</v>
      </c>
      <c r="E48" s="16">
        <v>37691921.962679401</v>
      </c>
      <c r="F48" s="16">
        <v>12620728.3425688</v>
      </c>
      <c r="G48" s="16">
        <v>3169637.1942118001</v>
      </c>
      <c r="H48" s="16">
        <v>899105.44178144995</v>
      </c>
      <c r="I48" s="16">
        <v>5989459.0603862004</v>
      </c>
      <c r="J48" s="16">
        <v>39156851.769368701</v>
      </c>
    </row>
    <row r="49" spans="1:11" x14ac:dyDescent="0.3">
      <c r="A49" t="s">
        <v>187</v>
      </c>
      <c r="B49" s="16">
        <v>327451.95009741699</v>
      </c>
      <c r="C49" s="16">
        <v>0</v>
      </c>
      <c r="D49" s="16">
        <v>6439.5579343167701</v>
      </c>
      <c r="E49" s="16">
        <v>4065239.5163976299</v>
      </c>
      <c r="F49" s="16">
        <v>24913826.125531599</v>
      </c>
      <c r="G49" s="16">
        <v>6032.54052084865</v>
      </c>
      <c r="H49" s="16">
        <v>22986.0211546838</v>
      </c>
      <c r="I49" s="16">
        <v>0</v>
      </c>
      <c r="J49" s="16">
        <v>1561097.6626774</v>
      </c>
    </row>
    <row r="50" spans="1:11" x14ac:dyDescent="0.3">
      <c r="A50" t="s">
        <v>188</v>
      </c>
      <c r="B50" s="16">
        <v>15666340.7016128</v>
      </c>
      <c r="C50" s="16">
        <v>2273487.7609756999</v>
      </c>
      <c r="D50" s="16">
        <v>6340455.3527125698</v>
      </c>
      <c r="E50" s="16">
        <v>18608201.033770502</v>
      </c>
      <c r="F50" s="16">
        <v>16635323.5630587</v>
      </c>
      <c r="G50" s="16">
        <v>201780.31502692</v>
      </c>
      <c r="H50" s="16">
        <v>1224591.6796874001</v>
      </c>
      <c r="I50" s="16">
        <v>14735194.916735301</v>
      </c>
      <c r="J50" s="16">
        <v>19942138.143009201</v>
      </c>
    </row>
    <row r="51" spans="1:11" x14ac:dyDescent="0.3">
      <c r="A51" t="s">
        <v>189</v>
      </c>
      <c r="B51" s="16">
        <v>107295653.633909</v>
      </c>
      <c r="C51" s="16">
        <v>1751428.58433838</v>
      </c>
      <c r="D51" s="16">
        <v>208035.165704958</v>
      </c>
      <c r="E51" s="16">
        <v>8466940.2275460195</v>
      </c>
      <c r="F51" s="16">
        <v>29040602.727733999</v>
      </c>
      <c r="G51" s="16">
        <v>16555.522932527601</v>
      </c>
      <c r="H51" s="16">
        <v>454000.58052587701</v>
      </c>
      <c r="I51" s="16">
        <v>311714.59146092902</v>
      </c>
      <c r="J51" s="16">
        <v>5711658.6657008603</v>
      </c>
    </row>
    <row r="52" spans="1:11" x14ac:dyDescent="0.3">
      <c r="A52" t="s">
        <v>190</v>
      </c>
      <c r="B52" s="16">
        <v>32572809.8048051</v>
      </c>
      <c r="C52" s="16">
        <v>6391259.07319663</v>
      </c>
      <c r="D52" s="16">
        <v>3115708.9641749999</v>
      </c>
      <c r="E52" s="16">
        <v>39581378.5903138</v>
      </c>
      <c r="F52" s="16">
        <v>49094987.558707997</v>
      </c>
      <c r="G52" s="16">
        <v>4170096.84812157</v>
      </c>
      <c r="H52" s="16">
        <v>8550512.8985249307</v>
      </c>
      <c r="I52" s="16">
        <v>3084485.7331538</v>
      </c>
      <c r="J52" s="16">
        <v>67285403.533557594</v>
      </c>
    </row>
    <row r="53" spans="1:11" x14ac:dyDescent="0.3">
      <c r="A53" t="s">
        <v>191</v>
      </c>
      <c r="B53" s="16">
        <v>3809304.3447276298</v>
      </c>
      <c r="C53" s="16">
        <v>410914.47708372999</v>
      </c>
      <c r="D53" s="16">
        <v>1251252.01287972</v>
      </c>
      <c r="E53" s="16">
        <v>1498783.5826216601</v>
      </c>
      <c r="F53" s="16">
        <v>4687741.0707585895</v>
      </c>
      <c r="G53" s="16">
        <v>5092.2656404320496</v>
      </c>
      <c r="H53" s="16">
        <v>11678.419390298601</v>
      </c>
      <c r="I53" s="16">
        <v>250007.386646381</v>
      </c>
      <c r="J53" s="16">
        <v>8961227.0826076996</v>
      </c>
    </row>
    <row r="54" spans="1:11" x14ac:dyDescent="0.3">
      <c r="A54" t="s">
        <v>192</v>
      </c>
      <c r="B54" s="16">
        <v>295682.780323071</v>
      </c>
      <c r="C54" s="16">
        <v>119115.373611927</v>
      </c>
      <c r="D54" s="16">
        <v>244278.668208466</v>
      </c>
      <c r="E54" s="16">
        <v>2510470.91752542</v>
      </c>
      <c r="F54" s="16">
        <v>0</v>
      </c>
      <c r="G54" s="16">
        <v>24624.0223244099</v>
      </c>
      <c r="H54" s="16">
        <v>0</v>
      </c>
      <c r="I54" s="16">
        <v>244107.05355824699</v>
      </c>
      <c r="J54" s="16">
        <v>1552198.4524026001</v>
      </c>
    </row>
    <row r="55" spans="1:11" x14ac:dyDescent="0.3">
      <c r="A55" t="s">
        <v>193</v>
      </c>
      <c r="B55" s="16">
        <v>1786730.5749995401</v>
      </c>
      <c r="C55" s="16">
        <v>19080.0399799406</v>
      </c>
      <c r="D55" s="16">
        <v>607754.66281878494</v>
      </c>
      <c r="E55" s="16">
        <v>9741997.1172853</v>
      </c>
      <c r="F55" s="16">
        <v>3058756.7087860401</v>
      </c>
      <c r="G55" s="16">
        <v>247953.06770450101</v>
      </c>
      <c r="H55" s="16">
        <v>0</v>
      </c>
      <c r="I55" s="16">
        <v>0</v>
      </c>
      <c r="J55" s="16">
        <v>2544370.5647680801</v>
      </c>
    </row>
    <row r="56" spans="1:11" x14ac:dyDescent="0.3">
      <c r="A56" t="s">
        <v>194</v>
      </c>
      <c r="B56" s="16">
        <v>283059.44874800899</v>
      </c>
      <c r="C56" s="16">
        <v>61589.060667637103</v>
      </c>
      <c r="D56" s="16">
        <v>3447744.4090898102</v>
      </c>
      <c r="E56" s="16">
        <v>19340482.244047601</v>
      </c>
      <c r="F56" s="16">
        <v>69753934.110786393</v>
      </c>
      <c r="G56" s="16">
        <v>459189.603596045</v>
      </c>
      <c r="H56" s="16">
        <v>2768266.5022935402</v>
      </c>
      <c r="I56" s="16">
        <v>259393.561735522</v>
      </c>
      <c r="J56" s="16">
        <v>54739564.223976701</v>
      </c>
    </row>
    <row r="57" spans="1:11" x14ac:dyDescent="0.3">
      <c r="A57" t="s">
        <v>195</v>
      </c>
      <c r="B57" s="16">
        <v>25541347.157149099</v>
      </c>
      <c r="C57" s="16">
        <v>1951502.9311011799</v>
      </c>
      <c r="D57" s="16">
        <v>1344515.2510315799</v>
      </c>
      <c r="E57" s="16">
        <v>27081967.859820198</v>
      </c>
      <c r="F57" s="16">
        <v>8734465.3708355296</v>
      </c>
      <c r="G57" s="16">
        <v>2915779.9998483201</v>
      </c>
      <c r="H57" s="16">
        <v>1402405.4241208299</v>
      </c>
      <c r="I57" s="16">
        <v>16899914.445932899</v>
      </c>
      <c r="J57" s="16">
        <v>32526456.187750101</v>
      </c>
    </row>
    <row r="58" spans="1:11" x14ac:dyDescent="0.3">
      <c r="A58" t="s">
        <v>196</v>
      </c>
      <c r="B58" s="16">
        <v>0</v>
      </c>
      <c r="C58" s="16">
        <v>0</v>
      </c>
      <c r="D58" s="16">
        <v>0</v>
      </c>
      <c r="E58" s="16">
        <v>1053875.85435342</v>
      </c>
      <c r="F58" s="16">
        <v>18404654.198027998</v>
      </c>
      <c r="G58" s="16">
        <v>43310.638099239397</v>
      </c>
      <c r="H58" s="16">
        <v>175223.86137627001</v>
      </c>
      <c r="I58" s="16">
        <v>7826.1676504171201</v>
      </c>
      <c r="J58" s="16">
        <v>4198755.88538827</v>
      </c>
    </row>
    <row r="59" spans="1:11" x14ac:dyDescent="0.3">
      <c r="A59" t="s">
        <v>197</v>
      </c>
      <c r="B59" s="16">
        <v>30613765.842006899</v>
      </c>
      <c r="C59" s="16">
        <v>565618.44258761196</v>
      </c>
      <c r="D59" s="16">
        <v>771105.67667697696</v>
      </c>
      <c r="E59" s="16">
        <v>58580576.734593503</v>
      </c>
      <c r="F59" s="16">
        <v>11388758.1481215</v>
      </c>
      <c r="G59" s="16">
        <v>19841895.268879399</v>
      </c>
      <c r="H59" s="16">
        <v>0</v>
      </c>
      <c r="I59" s="16">
        <v>9056717.0128754806</v>
      </c>
      <c r="J59" s="16">
        <v>26101038.973189499</v>
      </c>
      <c r="K59" s="1"/>
    </row>
    <row r="60" spans="1:11" x14ac:dyDescent="0.3">
      <c r="A60" t="s">
        <v>198</v>
      </c>
      <c r="B60" s="16">
        <v>537336.05547536898</v>
      </c>
      <c r="C60" s="16">
        <v>27163.864395469001</v>
      </c>
      <c r="D60" s="16">
        <v>2205.9302038339501</v>
      </c>
      <c r="E60" s="16">
        <v>2650951.4379032799</v>
      </c>
      <c r="F60" s="16">
        <v>23924752.4550789</v>
      </c>
      <c r="G60" s="16">
        <v>6507.8021962697603</v>
      </c>
      <c r="H60" s="16">
        <v>0</v>
      </c>
      <c r="I60" s="16">
        <v>0</v>
      </c>
      <c r="J60" s="16">
        <v>860219.12942477304</v>
      </c>
      <c r="K60" s="1"/>
    </row>
    <row r="61" spans="1:11" x14ac:dyDescent="0.3">
      <c r="A61" t="s">
        <v>199</v>
      </c>
      <c r="B61" s="16">
        <v>0</v>
      </c>
      <c r="C61" s="16">
        <v>0</v>
      </c>
      <c r="D61" s="16">
        <v>0</v>
      </c>
      <c r="E61" s="16">
        <v>240289.610773197</v>
      </c>
      <c r="F61" s="16">
        <v>15150.473361394799</v>
      </c>
      <c r="G61" s="16">
        <v>0</v>
      </c>
      <c r="H61" s="16">
        <v>0</v>
      </c>
      <c r="I61" s="16">
        <v>32349.259612766298</v>
      </c>
      <c r="J61" s="16">
        <v>256067.160879303</v>
      </c>
      <c r="K61" s="1"/>
    </row>
    <row r="62" spans="1:11" x14ac:dyDescent="0.3">
      <c r="A62" s="45" t="s">
        <v>200</v>
      </c>
      <c r="B62" s="46">
        <v>0</v>
      </c>
      <c r="C62" s="46">
        <v>160665195.317238</v>
      </c>
      <c r="D62" s="46">
        <v>1976290.8069618</v>
      </c>
      <c r="E62" s="46">
        <v>5243907011.1936703</v>
      </c>
      <c r="F62" s="46">
        <v>1582801547.3312199</v>
      </c>
      <c r="G62" s="46">
        <v>795553096.69441903</v>
      </c>
      <c r="H62" s="46">
        <v>0</v>
      </c>
      <c r="I62" s="46">
        <v>24769818.587455701</v>
      </c>
      <c r="J62" s="46">
        <v>991787243.20788705</v>
      </c>
      <c r="K62" s="1"/>
    </row>
    <row r="63" spans="1:11" x14ac:dyDescent="0.3">
      <c r="A63" t="s">
        <v>201</v>
      </c>
      <c r="B63" s="16">
        <v>12705474.731086399</v>
      </c>
      <c r="C63" s="16">
        <v>0</v>
      </c>
      <c r="D63" s="16">
        <v>1450829.2597107899</v>
      </c>
      <c r="E63" s="16">
        <v>56203119.273224004</v>
      </c>
      <c r="F63" s="16">
        <v>39811502.859325103</v>
      </c>
      <c r="G63" s="16">
        <v>93315.853483443003</v>
      </c>
      <c r="H63" s="16">
        <v>4279867.0947281998</v>
      </c>
      <c r="I63" s="16">
        <v>4713713.4911859501</v>
      </c>
      <c r="J63" s="16">
        <v>57471860.637095399</v>
      </c>
      <c r="K63" s="1"/>
    </row>
    <row r="64" spans="1:11" x14ac:dyDescent="0.3">
      <c r="A64" t="s">
        <v>202</v>
      </c>
      <c r="B64" s="16">
        <v>1296654.55985037</v>
      </c>
      <c r="C64" s="16">
        <v>100827.04041973699</v>
      </c>
      <c r="D64" s="16">
        <v>316963.72105337703</v>
      </c>
      <c r="E64" s="16">
        <v>5122506.46219928</v>
      </c>
      <c r="F64" s="16">
        <v>8766858.4284747504</v>
      </c>
      <c r="G64" s="16">
        <v>35637.660870785301</v>
      </c>
      <c r="H64" s="16">
        <v>1582726.47098539</v>
      </c>
      <c r="I64" s="16">
        <v>11945699.239606701</v>
      </c>
      <c r="J64" s="16">
        <v>6352485.3651663801</v>
      </c>
      <c r="K64" s="1"/>
    </row>
    <row r="65" spans="1:24" x14ac:dyDescent="0.3">
      <c r="A65" t="s">
        <v>203</v>
      </c>
      <c r="B65" s="16">
        <v>4356153.4843833297</v>
      </c>
      <c r="C65" s="16">
        <v>144401.04903860099</v>
      </c>
      <c r="D65" s="16">
        <v>827049.377132455</v>
      </c>
      <c r="E65" s="16">
        <v>10529822.519879499</v>
      </c>
      <c r="F65" s="16">
        <v>5903548.5962505303</v>
      </c>
      <c r="G65" s="16">
        <v>21106.3659771985</v>
      </c>
      <c r="H65" s="16">
        <v>445935.17881206702</v>
      </c>
      <c r="I65" s="16">
        <v>810757.19322360004</v>
      </c>
      <c r="J65" s="16">
        <v>6870611.2915280797</v>
      </c>
      <c r="K65" s="1"/>
    </row>
    <row r="66" spans="1:24" x14ac:dyDescent="0.3">
      <c r="A66" t="s">
        <v>204</v>
      </c>
      <c r="B66" s="16">
        <v>14348470.917323601</v>
      </c>
      <c r="C66" s="16">
        <v>6703149.7860832298</v>
      </c>
      <c r="D66" s="16">
        <v>895442.88011876598</v>
      </c>
      <c r="E66" s="16">
        <v>45537812.9854329</v>
      </c>
      <c r="F66" s="16">
        <v>67265589.094128296</v>
      </c>
      <c r="G66" s="16">
        <v>33813.207510309403</v>
      </c>
      <c r="H66" s="16">
        <v>360037.31973630399</v>
      </c>
      <c r="I66" s="16">
        <v>302851.29893213901</v>
      </c>
      <c r="J66" s="16">
        <v>13009238.9211579</v>
      </c>
      <c r="K66" s="1"/>
    </row>
    <row r="67" spans="1:24" x14ac:dyDescent="0.3">
      <c r="A67" t="s">
        <v>205</v>
      </c>
      <c r="B67" s="16">
        <v>451901.99630186101</v>
      </c>
      <c r="C67" s="16">
        <v>307243.168330013</v>
      </c>
      <c r="D67" s="16">
        <v>777854.11466926697</v>
      </c>
      <c r="E67" s="16">
        <v>3074998.0353486598</v>
      </c>
      <c r="F67" s="16">
        <v>791214.95246178098</v>
      </c>
      <c r="G67" s="16">
        <v>37752.093250397098</v>
      </c>
      <c r="H67" s="16">
        <v>0</v>
      </c>
      <c r="I67" s="16">
        <v>160954.09622054201</v>
      </c>
      <c r="J67" s="16">
        <v>4312090.2740916302</v>
      </c>
      <c r="K67" s="1"/>
    </row>
    <row r="68" spans="1:24" x14ac:dyDescent="0.3">
      <c r="A68" t="s">
        <v>206</v>
      </c>
      <c r="B68" s="16">
        <v>0</v>
      </c>
      <c r="C68" s="16">
        <v>19828.038979767</v>
      </c>
      <c r="D68" s="16">
        <v>100314.45158212799</v>
      </c>
      <c r="E68" s="16">
        <v>8616105.1219756007</v>
      </c>
      <c r="F68" s="16">
        <v>3110949.5365593899</v>
      </c>
      <c r="G68" s="16">
        <v>64481.155464402</v>
      </c>
      <c r="H68" s="16">
        <v>0</v>
      </c>
      <c r="I68" s="16">
        <v>210675.56221024701</v>
      </c>
      <c r="J68" s="16">
        <v>6263873.6741723204</v>
      </c>
      <c r="K68" s="1"/>
    </row>
    <row r="69" spans="1:24" x14ac:dyDescent="0.3">
      <c r="A69" t="s">
        <v>207</v>
      </c>
      <c r="B69" s="16">
        <v>23903612.6648742</v>
      </c>
      <c r="C69" s="16">
        <v>2941196.5011232002</v>
      </c>
      <c r="D69" s="16">
        <v>4619396.6204179097</v>
      </c>
      <c r="E69" s="16">
        <v>78676336.386150599</v>
      </c>
      <c r="F69" s="16">
        <v>13171623.9348699</v>
      </c>
      <c r="G69" s="16">
        <v>265182.19342139602</v>
      </c>
      <c r="H69" s="16">
        <v>4155185.2772196401</v>
      </c>
      <c r="I69" s="16">
        <v>12663622.113769701</v>
      </c>
      <c r="J69" s="16">
        <v>103029098.85389499</v>
      </c>
      <c r="K69" s="1"/>
      <c r="X69" s="41"/>
    </row>
    <row r="70" spans="1:24" x14ac:dyDescent="0.3">
      <c r="A70" t="s">
        <v>208</v>
      </c>
      <c r="B70" s="16">
        <v>8187631.6281784903</v>
      </c>
      <c r="C70" s="16">
        <v>2229967.99076602</v>
      </c>
      <c r="D70" s="16">
        <v>858087.49572124798</v>
      </c>
      <c r="E70" s="16">
        <v>21848325.7850486</v>
      </c>
      <c r="F70" s="16">
        <v>2640533.45289315</v>
      </c>
      <c r="G70" s="16">
        <v>25496.682687778699</v>
      </c>
      <c r="H70" s="16">
        <v>1946725.0915351601</v>
      </c>
      <c r="I70" s="16">
        <v>4296722.8585724803</v>
      </c>
      <c r="J70" s="16">
        <v>48827354.906603903</v>
      </c>
      <c r="K70" s="1"/>
    </row>
    <row r="71" spans="1:24" x14ac:dyDescent="0.3">
      <c r="A71" t="s">
        <v>209</v>
      </c>
      <c r="B71" s="16">
        <v>1017880.75045278</v>
      </c>
      <c r="C71" s="16">
        <v>10636.792757143799</v>
      </c>
      <c r="D71" s="16">
        <v>13571.4507962302</v>
      </c>
      <c r="E71" s="16">
        <v>3768039.1400820399</v>
      </c>
      <c r="F71" s="16">
        <v>54233.480932562699</v>
      </c>
      <c r="G71" s="16">
        <v>0</v>
      </c>
      <c r="H71" s="16">
        <v>324033.39349828998</v>
      </c>
      <c r="I71" s="16">
        <v>5637307.0991446301</v>
      </c>
      <c r="J71" s="16">
        <v>3564263.77182642</v>
      </c>
      <c r="K71" s="1"/>
    </row>
    <row r="72" spans="1:24" x14ac:dyDescent="0.3">
      <c r="A72" t="s">
        <v>210</v>
      </c>
      <c r="B72" s="16">
        <v>11363468.001269201</v>
      </c>
      <c r="C72" s="16">
        <v>1283922.1685474501</v>
      </c>
      <c r="D72" s="16">
        <v>2480296.1753019099</v>
      </c>
      <c r="E72" s="16">
        <v>80496446.129864097</v>
      </c>
      <c r="F72" s="16">
        <v>44824489.303612798</v>
      </c>
      <c r="G72" s="16">
        <v>339324.06173332402</v>
      </c>
      <c r="H72" s="16">
        <v>5995860.03055296</v>
      </c>
      <c r="I72" s="16">
        <v>60154868.958043002</v>
      </c>
      <c r="J72" s="16">
        <v>76026565.0147506</v>
      </c>
      <c r="K72" s="1"/>
    </row>
    <row r="73" spans="1:24" x14ac:dyDescent="0.3">
      <c r="A73" t="s">
        <v>211</v>
      </c>
      <c r="B73" s="16">
        <v>140941.16296926999</v>
      </c>
      <c r="C73" s="16">
        <v>303216.76227290899</v>
      </c>
      <c r="D73" s="16">
        <v>11101760.760284301</v>
      </c>
      <c r="E73" s="16">
        <v>2455117.2763699498</v>
      </c>
      <c r="F73" s="16">
        <v>6757430.0753129702</v>
      </c>
      <c r="G73" s="16">
        <v>0</v>
      </c>
      <c r="H73" s="16">
        <v>398367.41569127497</v>
      </c>
      <c r="I73" s="16">
        <v>93386.182536773893</v>
      </c>
      <c r="J73" s="16">
        <v>2534431.43124256</v>
      </c>
      <c r="K73" s="1"/>
    </row>
    <row r="74" spans="1:24" x14ac:dyDescent="0.3">
      <c r="A74" t="s">
        <v>212</v>
      </c>
      <c r="B74" s="16">
        <v>1080845.1811246099</v>
      </c>
      <c r="C74" s="16">
        <v>44020.042860394999</v>
      </c>
      <c r="D74" s="16">
        <v>137807.56397320199</v>
      </c>
      <c r="E74" s="16">
        <v>1311905.5902165</v>
      </c>
      <c r="F74" s="16">
        <v>17622.161642503899</v>
      </c>
      <c r="G74" s="16">
        <v>0</v>
      </c>
      <c r="H74" s="16">
        <v>8203.3768366704298</v>
      </c>
      <c r="I74" s="16">
        <v>49873.956071680201</v>
      </c>
      <c r="J74" s="16">
        <v>2685638.1739049498</v>
      </c>
      <c r="K74" s="1"/>
    </row>
    <row r="75" spans="1:24" x14ac:dyDescent="0.3">
      <c r="A75" t="s">
        <v>213</v>
      </c>
      <c r="B75" s="16">
        <v>7690446.1027804799</v>
      </c>
      <c r="C75" s="16">
        <v>46378.132524077497</v>
      </c>
      <c r="D75" s="16">
        <v>151056.12770303799</v>
      </c>
      <c r="E75" s="16">
        <v>1669902.8874381401</v>
      </c>
      <c r="F75" s="16">
        <v>5135644.67547407</v>
      </c>
      <c r="G75" s="16">
        <v>0</v>
      </c>
      <c r="H75" s="16">
        <v>18183.900798697399</v>
      </c>
      <c r="I75" s="16">
        <v>160557.40838473599</v>
      </c>
      <c r="J75" s="16">
        <v>4471882.77331251</v>
      </c>
      <c r="K75" s="1"/>
    </row>
    <row r="76" spans="1:24" x14ac:dyDescent="0.3">
      <c r="A76" t="s">
        <v>214</v>
      </c>
      <c r="B76" s="16">
        <v>17168671.446349699</v>
      </c>
      <c r="C76" s="16">
        <v>276039.38608619297</v>
      </c>
      <c r="D76" s="16">
        <v>2179931.9552748599</v>
      </c>
      <c r="E76" s="16">
        <v>20399489.362880301</v>
      </c>
      <c r="F76" s="16">
        <v>3282709.2002303302</v>
      </c>
      <c r="G76" s="16">
        <v>0</v>
      </c>
      <c r="H76" s="16">
        <v>923940.49067253305</v>
      </c>
      <c r="I76" s="16">
        <v>1869266.4234571899</v>
      </c>
      <c r="J76" s="16">
        <v>13950244.178649699</v>
      </c>
      <c r="K76" s="1"/>
    </row>
    <row r="77" spans="1:24" x14ac:dyDescent="0.3">
      <c r="A77" t="s">
        <v>215</v>
      </c>
      <c r="B77" s="16">
        <v>840918.13067608199</v>
      </c>
      <c r="C77" s="16">
        <v>1252226.9277462999</v>
      </c>
      <c r="D77" s="16">
        <v>28825.190466508098</v>
      </c>
      <c r="E77" s="16">
        <v>1396268.3078340199</v>
      </c>
      <c r="F77" s="16">
        <v>52972.355597101297</v>
      </c>
      <c r="G77" s="16">
        <v>0</v>
      </c>
      <c r="H77" s="16">
        <v>59896.891575872098</v>
      </c>
      <c r="I77" s="16">
        <v>88194.403921984995</v>
      </c>
      <c r="J77" s="16">
        <v>1332334.6696010199</v>
      </c>
      <c r="K77" s="1"/>
      <c r="R77" s="41"/>
      <c r="X77" s="41"/>
    </row>
    <row r="78" spans="1:24" x14ac:dyDescent="0.3">
      <c r="A78" t="s">
        <v>216</v>
      </c>
      <c r="B78" s="16">
        <v>10416975.342680501</v>
      </c>
      <c r="C78" s="16">
        <v>62129123.819776297</v>
      </c>
      <c r="D78" s="16">
        <v>14601226.1000413</v>
      </c>
      <c r="E78" s="16">
        <v>1111516.4956850901</v>
      </c>
      <c r="F78" s="16">
        <v>29477038.774592701</v>
      </c>
      <c r="G78" s="16">
        <v>0</v>
      </c>
      <c r="H78" s="16">
        <v>370407.322057629</v>
      </c>
      <c r="I78" s="16">
        <v>364164.45167659898</v>
      </c>
      <c r="J78" s="16">
        <v>421461.568196312</v>
      </c>
      <c r="K78" s="1"/>
    </row>
    <row r="79" spans="1:24" x14ac:dyDescent="0.3">
      <c r="A79" t="s">
        <v>217</v>
      </c>
      <c r="B79" s="16">
        <v>89208.3938646975</v>
      </c>
      <c r="C79" s="16">
        <v>4496.1357045144596</v>
      </c>
      <c r="D79" s="16">
        <v>238790.80863634401</v>
      </c>
      <c r="E79" s="16">
        <v>1205401.4905075999</v>
      </c>
      <c r="F79" s="16">
        <v>294387.29575504299</v>
      </c>
      <c r="G79" s="16">
        <v>15115.0518538786</v>
      </c>
      <c r="H79" s="16">
        <v>39554.3976385313</v>
      </c>
      <c r="I79" s="16">
        <v>215835.43284125201</v>
      </c>
      <c r="J79" s="16">
        <v>3234730.92465063</v>
      </c>
      <c r="K79" s="1"/>
    </row>
    <row r="80" spans="1:24" x14ac:dyDescent="0.3">
      <c r="A80" t="s">
        <v>218</v>
      </c>
      <c r="B80" s="16">
        <v>0</v>
      </c>
      <c r="C80" s="16">
        <v>0</v>
      </c>
      <c r="D80" s="16">
        <v>0</v>
      </c>
      <c r="E80" s="16">
        <v>15437894.2797326</v>
      </c>
      <c r="F80" s="16">
        <v>2706701.0366541198</v>
      </c>
      <c r="G80" s="16">
        <v>31364.436802869001</v>
      </c>
      <c r="H80" s="16">
        <v>1163014.5399423901</v>
      </c>
      <c r="I80" s="16">
        <v>769048.56581623596</v>
      </c>
      <c r="J80" s="16">
        <v>14682758.5486906</v>
      </c>
      <c r="K80" s="1"/>
    </row>
    <row r="81" spans="1:37" x14ac:dyDescent="0.3">
      <c r="A81" t="s">
        <v>219</v>
      </c>
      <c r="B81" s="16">
        <v>12713454.6962195</v>
      </c>
      <c r="C81" s="16">
        <v>136645.15768831701</v>
      </c>
      <c r="D81" s="16">
        <v>781001.37067225401</v>
      </c>
      <c r="E81" s="16">
        <v>6976425.94155866</v>
      </c>
      <c r="F81" s="16">
        <v>920029.00458298204</v>
      </c>
      <c r="G81" s="16">
        <v>100970.73329897699</v>
      </c>
      <c r="H81" s="16">
        <v>1258147.09119829</v>
      </c>
      <c r="I81" s="16">
        <v>8429639.3511507101</v>
      </c>
      <c r="J81" s="16">
        <v>27281060.577172201</v>
      </c>
      <c r="K81" s="1"/>
    </row>
    <row r="82" spans="1:37" x14ac:dyDescent="0.3">
      <c r="A82" t="s">
        <v>220</v>
      </c>
      <c r="B82" s="16">
        <v>2351921.629826</v>
      </c>
      <c r="C82" s="16">
        <v>260870.18682917699</v>
      </c>
      <c r="D82" s="16">
        <v>513111.376261728</v>
      </c>
      <c r="E82" s="16">
        <v>14841290.754698001</v>
      </c>
      <c r="F82" s="16">
        <v>9332920.9048355892</v>
      </c>
      <c r="G82" s="16">
        <v>0</v>
      </c>
      <c r="H82" s="16">
        <v>1182422.24214139</v>
      </c>
      <c r="I82" s="16">
        <v>0</v>
      </c>
      <c r="J82" s="16">
        <v>14208956.3321098</v>
      </c>
      <c r="K82" s="1"/>
    </row>
    <row r="83" spans="1:37" x14ac:dyDescent="0.3">
      <c r="A83" t="s">
        <v>221</v>
      </c>
      <c r="B83" s="16">
        <v>6775918.0121516297</v>
      </c>
      <c r="C83" s="16">
        <v>817115.97482203296</v>
      </c>
      <c r="D83" s="16">
        <v>37155641.751959197</v>
      </c>
      <c r="E83" s="16">
        <v>4889744.1264030999</v>
      </c>
      <c r="F83" s="16">
        <v>11428109.9566605</v>
      </c>
      <c r="G83" s="16">
        <v>0</v>
      </c>
      <c r="H83" s="16">
        <v>123034.302298704</v>
      </c>
      <c r="I83" s="16">
        <v>1335891.4862555801</v>
      </c>
      <c r="J83" s="16">
        <v>3991501.3492806298</v>
      </c>
      <c r="K83" s="1"/>
    </row>
    <row r="84" spans="1:37" x14ac:dyDescent="0.3">
      <c r="A84" t="s">
        <v>222</v>
      </c>
      <c r="B84" s="16">
        <v>277819.28901571198</v>
      </c>
      <c r="C84" s="16">
        <v>363.111307663719</v>
      </c>
      <c r="D84" s="16">
        <v>0</v>
      </c>
      <c r="E84" s="16">
        <v>603680.85409356595</v>
      </c>
      <c r="F84" s="16">
        <v>10424764.819395499</v>
      </c>
      <c r="G84" s="16">
        <v>0</v>
      </c>
      <c r="H84" s="16">
        <v>45016.838845466897</v>
      </c>
      <c r="I84" s="16">
        <v>395049.440126092</v>
      </c>
      <c r="J84" s="16">
        <v>1981476.1737347799</v>
      </c>
      <c r="K84" s="1"/>
      <c r="X84" s="41"/>
      <c r="AE84" s="41"/>
      <c r="AK84" s="41"/>
    </row>
    <row r="85" spans="1:37" x14ac:dyDescent="0.3">
      <c r="A85" t="s">
        <v>223</v>
      </c>
      <c r="B85" s="16">
        <v>8028310.8294717697</v>
      </c>
      <c r="C85" s="16">
        <v>0</v>
      </c>
      <c r="D85" s="16">
        <v>0</v>
      </c>
      <c r="E85" s="16">
        <v>268323.69210525003</v>
      </c>
      <c r="F85" s="16">
        <v>285840.95670796302</v>
      </c>
      <c r="G85" s="16">
        <v>0</v>
      </c>
      <c r="H85" s="16">
        <v>35595.376772171199</v>
      </c>
      <c r="I85" s="16">
        <v>1199303.2529394899</v>
      </c>
      <c r="J85" s="16">
        <v>2079960.0881564999</v>
      </c>
      <c r="K85" s="1"/>
    </row>
    <row r="86" spans="1:37" x14ac:dyDescent="0.3">
      <c r="A86" t="s">
        <v>224</v>
      </c>
      <c r="B86" s="16">
        <v>16913528.333292902</v>
      </c>
      <c r="C86" s="16">
        <v>9052.4151195237991</v>
      </c>
      <c r="D86" s="16">
        <v>2037769.46393471</v>
      </c>
      <c r="E86" s="16">
        <v>117556748.38493399</v>
      </c>
      <c r="F86" s="16">
        <v>20436694.874699101</v>
      </c>
      <c r="G86" s="16">
        <v>222808.596314936</v>
      </c>
      <c r="H86" s="16">
        <v>11699019.1291379</v>
      </c>
      <c r="I86" s="16">
        <v>32552007.862723399</v>
      </c>
      <c r="J86" s="16">
        <v>194722317.16652</v>
      </c>
      <c r="K86" s="1"/>
    </row>
    <row r="87" spans="1:37" x14ac:dyDescent="0.3">
      <c r="A87" t="s">
        <v>225</v>
      </c>
      <c r="B87" s="16">
        <v>304332.45620064501</v>
      </c>
      <c r="C87" s="16">
        <v>2204078.5625479501</v>
      </c>
      <c r="D87" s="16">
        <v>184444.991781697</v>
      </c>
      <c r="E87" s="16">
        <v>2685509.1055665598</v>
      </c>
      <c r="F87" s="16">
        <v>20497926.907248799</v>
      </c>
      <c r="G87" s="16">
        <v>13082.8131184209</v>
      </c>
      <c r="H87" s="16">
        <v>59131.2382273228</v>
      </c>
      <c r="I87" s="16">
        <v>471230.39837988699</v>
      </c>
      <c r="J87" s="16">
        <v>25295423.6028562</v>
      </c>
      <c r="K87" s="1"/>
    </row>
    <row r="88" spans="1:37" x14ac:dyDescent="0.3">
      <c r="A88" t="s">
        <v>226</v>
      </c>
      <c r="B88" s="16">
        <v>2682944.1159965601</v>
      </c>
      <c r="C88" s="16">
        <v>695954.28567610297</v>
      </c>
      <c r="D88" s="16">
        <v>17834839.7589022</v>
      </c>
      <c r="E88" s="16">
        <v>8802565.5681711007</v>
      </c>
      <c r="F88" s="16">
        <v>24035034.634137299</v>
      </c>
      <c r="G88" s="16">
        <v>0</v>
      </c>
      <c r="H88" s="16">
        <v>536708.84928788804</v>
      </c>
      <c r="I88" s="16">
        <v>486281.552652382</v>
      </c>
      <c r="J88" s="16">
        <v>12445486.4764992</v>
      </c>
      <c r="K88" s="1"/>
    </row>
    <row r="89" spans="1:37" x14ac:dyDescent="0.3">
      <c r="A89" t="s">
        <v>227</v>
      </c>
      <c r="B89" s="16">
        <v>351313.49540297699</v>
      </c>
      <c r="C89" s="16">
        <v>981183.63135447598</v>
      </c>
      <c r="D89" s="16">
        <v>61990858.6847222</v>
      </c>
      <c r="E89" s="16">
        <v>2873020.37241528</v>
      </c>
      <c r="F89" s="16">
        <v>31466958.382856201</v>
      </c>
      <c r="G89" s="16">
        <v>0</v>
      </c>
      <c r="H89" s="16">
        <v>47333.398150722103</v>
      </c>
      <c r="I89" s="16">
        <v>1023720.91688673</v>
      </c>
      <c r="J89" s="16">
        <v>3491045.6361205298</v>
      </c>
      <c r="K89" s="1"/>
    </row>
    <row r="90" spans="1:37" x14ac:dyDescent="0.3">
      <c r="A90" t="s">
        <v>228</v>
      </c>
      <c r="B90" s="16">
        <v>32709944.349366602</v>
      </c>
      <c r="C90" s="16">
        <v>878373.59626901103</v>
      </c>
      <c r="D90" s="16">
        <v>3950875.6928514899</v>
      </c>
      <c r="E90" s="16">
        <v>43409723.805046096</v>
      </c>
      <c r="F90" s="16">
        <v>3271144.6014868901</v>
      </c>
      <c r="G90" s="16">
        <v>48980.9440761761</v>
      </c>
      <c r="H90" s="16">
        <v>22789438.8095975</v>
      </c>
      <c r="I90" s="16">
        <v>9144766.7551442496</v>
      </c>
      <c r="J90" s="16">
        <v>116692041.17685901</v>
      </c>
      <c r="K90" s="1"/>
    </row>
    <row r="91" spans="1:37" x14ac:dyDescent="0.3">
      <c r="K91" s="1"/>
      <c r="R91" s="41"/>
    </row>
    <row r="92" spans="1:37" x14ac:dyDescent="0.3">
      <c r="K92" s="1"/>
    </row>
    <row r="93" spans="1:37" ht="28.8" x14ac:dyDescent="0.3">
      <c r="A93" s="10" t="s">
        <v>230</v>
      </c>
      <c r="B93" s="9" t="s">
        <v>233</v>
      </c>
      <c r="C93" s="9"/>
      <c r="D93" s="38"/>
      <c r="E93" s="38"/>
      <c r="F93" s="38"/>
      <c r="G93" s="38"/>
      <c r="H93" s="39"/>
      <c r="I93" s="9"/>
      <c r="J93" s="9"/>
      <c r="K93" s="59"/>
      <c r="L93" s="9"/>
      <c r="M93" s="9"/>
      <c r="N93" s="9"/>
      <c r="O93" s="9"/>
    </row>
    <row r="94" spans="1:37" ht="28.8" x14ac:dyDescent="0.3">
      <c r="A94" s="28"/>
      <c r="B94" s="52" t="s">
        <v>231</v>
      </c>
      <c r="C94" s="53" t="s">
        <v>232</v>
      </c>
      <c r="D94" s="53" t="s">
        <v>124</v>
      </c>
      <c r="E94" s="53" t="s">
        <v>125</v>
      </c>
      <c r="F94" s="3"/>
      <c r="K94" s="1"/>
    </row>
    <row r="95" spans="1:37" x14ac:dyDescent="0.3">
      <c r="A95" s="3" t="s">
        <v>15</v>
      </c>
      <c r="B95" s="54">
        <v>2439900</v>
      </c>
      <c r="C95" t="s">
        <v>123</v>
      </c>
      <c r="D95" s="4">
        <v>10786</v>
      </c>
      <c r="E95" s="4">
        <v>19895</v>
      </c>
      <c r="K95" s="1"/>
    </row>
    <row r="96" spans="1:37" x14ac:dyDescent="0.3">
      <c r="B96" s="54">
        <v>2511000</v>
      </c>
      <c r="C96" t="s">
        <v>137</v>
      </c>
      <c r="D96" s="4">
        <v>390</v>
      </c>
      <c r="E96" s="4">
        <v>2733</v>
      </c>
      <c r="K96" s="1"/>
    </row>
    <row r="97" spans="1:12" x14ac:dyDescent="0.3">
      <c r="B97" s="54">
        <v>2521100</v>
      </c>
      <c r="C97" t="s">
        <v>138</v>
      </c>
      <c r="D97" s="4">
        <v>46</v>
      </c>
      <c r="E97" s="4">
        <v>156</v>
      </c>
      <c r="K97" s="1"/>
    </row>
    <row r="98" spans="1:12" x14ac:dyDescent="0.3">
      <c r="A98" s="3" t="s">
        <v>1</v>
      </c>
      <c r="B98" s="54">
        <v>2444900</v>
      </c>
      <c r="C98" t="s">
        <v>126</v>
      </c>
      <c r="D98" s="4">
        <v>211</v>
      </c>
      <c r="E98" s="4">
        <v>279</v>
      </c>
      <c r="K98" s="1"/>
    </row>
    <row r="99" spans="1:12" x14ac:dyDescent="0.3">
      <c r="A99" s="3" t="s">
        <v>2</v>
      </c>
      <c r="B99" s="54">
        <v>2442900</v>
      </c>
      <c r="C99" t="s">
        <v>127</v>
      </c>
      <c r="D99" s="4">
        <v>1990</v>
      </c>
      <c r="E99" s="4">
        <v>2593</v>
      </c>
      <c r="J99" s="41"/>
      <c r="K99" s="1"/>
    </row>
    <row r="100" spans="1:12" x14ac:dyDescent="0.3">
      <c r="A100" s="3" t="s">
        <v>4</v>
      </c>
      <c r="B100" s="55">
        <v>1610000</v>
      </c>
      <c r="C100" s="44" t="s">
        <v>56</v>
      </c>
      <c r="D100" s="50">
        <v>3811</v>
      </c>
      <c r="E100" s="50">
        <v>4128</v>
      </c>
      <c r="K100" s="1"/>
    </row>
    <row r="101" spans="1:12" x14ac:dyDescent="0.3">
      <c r="B101" s="55">
        <v>1621100</v>
      </c>
      <c r="C101" s="44" t="s">
        <v>61</v>
      </c>
      <c r="D101" s="50">
        <v>415</v>
      </c>
      <c r="E101" s="50">
        <v>428</v>
      </c>
      <c r="K101" s="1"/>
    </row>
    <row r="102" spans="1:12" x14ac:dyDescent="0.3">
      <c r="A102" s="3"/>
      <c r="B102" s="55">
        <v>1621200</v>
      </c>
      <c r="C102" s="44" t="s">
        <v>62</v>
      </c>
      <c r="D102" s="50">
        <v>1250</v>
      </c>
      <c r="E102" s="50">
        <v>1538</v>
      </c>
      <c r="K102" s="1"/>
      <c r="L102" s="41"/>
    </row>
    <row r="103" spans="1:12" x14ac:dyDescent="0.3">
      <c r="B103" s="55">
        <v>1623111</v>
      </c>
      <c r="C103" s="44" t="s">
        <v>63</v>
      </c>
      <c r="D103" s="50">
        <v>11</v>
      </c>
      <c r="E103" s="50">
        <v>62</v>
      </c>
      <c r="K103" s="1"/>
    </row>
    <row r="104" spans="1:12" x14ac:dyDescent="0.3">
      <c r="B104" s="55">
        <v>1623112</v>
      </c>
      <c r="C104" s="44" t="s">
        <v>64</v>
      </c>
      <c r="D104" s="50">
        <v>38</v>
      </c>
      <c r="E104" s="50">
        <v>110</v>
      </c>
      <c r="H104" s="3"/>
      <c r="K104" s="1"/>
    </row>
    <row r="105" spans="1:12" x14ac:dyDescent="0.3">
      <c r="B105" s="55">
        <v>1623120</v>
      </c>
      <c r="C105" s="44" t="s">
        <v>65</v>
      </c>
      <c r="D105" s="50">
        <v>105</v>
      </c>
      <c r="E105" s="50">
        <v>761</v>
      </c>
      <c r="H105" s="3"/>
      <c r="K105" s="1"/>
    </row>
    <row r="106" spans="1:12" x14ac:dyDescent="0.3">
      <c r="A106" s="3" t="s">
        <v>5</v>
      </c>
      <c r="B106" s="55">
        <v>2361110</v>
      </c>
      <c r="C106" s="44" t="s">
        <v>120</v>
      </c>
      <c r="D106" s="50">
        <v>328</v>
      </c>
      <c r="E106" s="50">
        <v>3517</v>
      </c>
      <c r="H106" s="3"/>
      <c r="K106" s="1"/>
    </row>
    <row r="107" spans="1:12" x14ac:dyDescent="0.3">
      <c r="B107" s="55">
        <v>2361199</v>
      </c>
      <c r="C107" s="44" t="s">
        <v>121</v>
      </c>
      <c r="D107" s="50">
        <v>338</v>
      </c>
      <c r="E107" s="50">
        <v>3509</v>
      </c>
      <c r="H107" s="3"/>
      <c r="K107" s="1"/>
    </row>
    <row r="108" spans="1:12" x14ac:dyDescent="0.3">
      <c r="B108" s="55">
        <v>2361900</v>
      </c>
      <c r="C108" s="44" t="s">
        <v>122</v>
      </c>
      <c r="D108" s="50">
        <v>844</v>
      </c>
      <c r="E108" s="50">
        <v>9661</v>
      </c>
      <c r="K108" s="1"/>
    </row>
    <row r="109" spans="1:12" x14ac:dyDescent="0.3">
      <c r="A109" s="62"/>
      <c r="B109" s="61">
        <v>2363400</v>
      </c>
      <c r="C109" s="44" t="s">
        <v>55</v>
      </c>
      <c r="D109" s="50">
        <v>139</v>
      </c>
      <c r="E109" s="50">
        <v>2192</v>
      </c>
      <c r="K109" s="1"/>
    </row>
    <row r="110" spans="1:12" x14ac:dyDescent="0.3">
      <c r="A110" s="3" t="s">
        <v>16</v>
      </c>
      <c r="B110" s="55">
        <v>2323400</v>
      </c>
      <c r="C110" s="44" t="s">
        <v>128</v>
      </c>
      <c r="D110" s="51">
        <v>147</v>
      </c>
      <c r="E110" s="51">
        <v>288</v>
      </c>
      <c r="K110" s="1"/>
    </row>
    <row r="111" spans="1:12" x14ac:dyDescent="0.3">
      <c r="A111" s="62" t="s">
        <v>86</v>
      </c>
      <c r="B111" s="63">
        <v>812110</v>
      </c>
      <c r="C111" s="64" t="s">
        <v>236</v>
      </c>
      <c r="D111" s="65">
        <v>11446</v>
      </c>
      <c r="E111" s="65">
        <v>24367</v>
      </c>
      <c r="F111" t="s">
        <v>260</v>
      </c>
      <c r="G111" s="58">
        <v>0.51</v>
      </c>
      <c r="K111" s="1"/>
    </row>
    <row r="112" spans="1:12" x14ac:dyDescent="0.3">
      <c r="B112" s="55">
        <v>2363400</v>
      </c>
      <c r="C112" s="64" t="s">
        <v>55</v>
      </c>
      <c r="D112" s="65">
        <v>139</v>
      </c>
      <c r="E112" s="65">
        <v>2192</v>
      </c>
      <c r="G112" s="58">
        <v>0.33</v>
      </c>
      <c r="K112" s="1"/>
    </row>
    <row r="113" spans="1:39" x14ac:dyDescent="0.3">
      <c r="B113" s="66"/>
      <c r="C113" s="64" t="s">
        <v>237</v>
      </c>
      <c r="D113" s="20" t="s">
        <v>238</v>
      </c>
      <c r="G113" s="58">
        <v>0.16</v>
      </c>
      <c r="K113" s="1"/>
    </row>
    <row r="114" spans="1:39" x14ac:dyDescent="0.3">
      <c r="A114" s="3" t="s">
        <v>6</v>
      </c>
      <c r="B114" s="55">
        <v>2312199</v>
      </c>
      <c r="C114" s="44" t="s">
        <v>129</v>
      </c>
      <c r="D114" s="51">
        <v>470</v>
      </c>
      <c r="E114" s="51">
        <v>708</v>
      </c>
      <c r="K114" s="1"/>
    </row>
    <row r="115" spans="1:39" ht="28.8" x14ac:dyDescent="0.3">
      <c r="A115" s="3" t="s">
        <v>7</v>
      </c>
      <c r="B115" s="55">
        <v>2339000</v>
      </c>
      <c r="C115" s="44" t="s">
        <v>130</v>
      </c>
      <c r="D115" s="51">
        <v>3051</v>
      </c>
      <c r="E115" s="51">
        <v>6056</v>
      </c>
      <c r="K115" s="1"/>
    </row>
    <row r="116" spans="1:39" x14ac:dyDescent="0.3">
      <c r="A116" s="3" t="s">
        <v>17</v>
      </c>
      <c r="B116" s="55">
        <v>2223000</v>
      </c>
      <c r="C116" s="44" t="s">
        <v>131</v>
      </c>
      <c r="D116" s="51">
        <v>243</v>
      </c>
      <c r="E116" s="51">
        <v>690</v>
      </c>
      <c r="K116" s="1"/>
      <c r="AD116" s="1"/>
      <c r="AJ116" s="1"/>
    </row>
    <row r="117" spans="1:39" x14ac:dyDescent="0.3">
      <c r="A117" s="3" t="s">
        <v>9</v>
      </c>
      <c r="B117" s="40" t="s">
        <v>60</v>
      </c>
      <c r="C117" s="42" t="s">
        <v>60</v>
      </c>
      <c r="D117" s="42" t="s">
        <v>60</v>
      </c>
      <c r="E117" s="42" t="s">
        <v>60</v>
      </c>
      <c r="K117" s="1"/>
      <c r="AD117" s="1"/>
      <c r="AJ117" s="1"/>
    </row>
    <row r="118" spans="1:39" x14ac:dyDescent="0.3">
      <c r="K118" s="1"/>
      <c r="AD118" s="41"/>
      <c r="AJ118" s="41"/>
      <c r="AM118" s="1"/>
    </row>
    <row r="119" spans="1:39" x14ac:dyDescent="0.3">
      <c r="K119" s="1"/>
      <c r="AC119" s="41"/>
      <c r="AI119" s="41"/>
    </row>
    <row r="120" spans="1:39" x14ac:dyDescent="0.3">
      <c r="A120" s="10" t="s">
        <v>229</v>
      </c>
      <c r="B120" s="9" t="s">
        <v>39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39" x14ac:dyDescent="0.3">
      <c r="B121" t="s">
        <v>15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16</v>
      </c>
      <c r="I121" t="s">
        <v>86</v>
      </c>
      <c r="J121" t="s">
        <v>6</v>
      </c>
      <c r="K121" t="s">
        <v>7</v>
      </c>
      <c r="L121" t="s">
        <v>17</v>
      </c>
      <c r="M121" t="s">
        <v>9</v>
      </c>
      <c r="N121" t="s">
        <v>87</v>
      </c>
      <c r="O121" t="s">
        <v>22</v>
      </c>
    </row>
    <row r="122" spans="1:39" x14ac:dyDescent="0.3">
      <c r="A122" s="3" t="s">
        <v>134</v>
      </c>
      <c r="B122" s="16">
        <f>'Material Stocks and Flows 2019'!C142</f>
        <v>543627.64752062596</v>
      </c>
      <c r="C122" s="16">
        <f>'Material Stocks and Flows 2019'!D142</f>
        <v>7333.5516293272094</v>
      </c>
      <c r="D122" s="16">
        <f>'Material Stocks and Flows 2019'!E142</f>
        <v>15422.308999999999</v>
      </c>
      <c r="E122" s="16">
        <f>'Material Stocks and Flows 2019'!F142</f>
        <v>33768.277682061744</v>
      </c>
      <c r="F122" s="16">
        <f>'Material Stocks and Flows 2019'!G142</f>
        <v>453384.82047631196</v>
      </c>
      <c r="G122" s="16">
        <f>'Material Stocks and Flows 2019'!H142</f>
        <v>12920353.9091605</v>
      </c>
      <c r="H122" s="16">
        <f>'Material Stocks and Flows 2019'!I142</f>
        <v>870718.82669048221</v>
      </c>
      <c r="I122" s="16">
        <f>'Material Stocks and Flows 2019'!J142</f>
        <v>4793769.9538998045</v>
      </c>
      <c r="J122" s="16">
        <f>'Material Stocks and Flows 2019'!K142</f>
        <v>83912.791672195279</v>
      </c>
      <c r="K122" s="16">
        <f>'Material Stocks and Flows 2019'!L142</f>
        <v>90821.380550310452</v>
      </c>
      <c r="L122" s="16">
        <f>'Material Stocks and Flows 2019'!M142</f>
        <v>36610.190757846387</v>
      </c>
      <c r="M122" s="16">
        <f>'Material Stocks and Flows 2019'!N142</f>
        <v>159834.79117632049</v>
      </c>
      <c r="N122" s="16">
        <f>'Material Stocks and Flows 2019'!O142</f>
        <v>50944.390784213654</v>
      </c>
      <c r="O122" s="16">
        <f>SUM(B122:N122)</f>
        <v>20060502.841000002</v>
      </c>
    </row>
    <row r="123" spans="1:39" x14ac:dyDescent="0.3">
      <c r="A123" s="3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14"/>
    </row>
    <row r="124" spans="1:39" ht="28.8" x14ac:dyDescent="0.3">
      <c r="A124" s="3" t="s">
        <v>135</v>
      </c>
      <c r="B124" s="56">
        <f>B22</f>
        <v>0.7189189189189189</v>
      </c>
      <c r="C124" s="56">
        <f>B23</f>
        <v>0.33333333333333331</v>
      </c>
      <c r="D124" s="56">
        <f>B24</f>
        <v>0.16666666666666666</v>
      </c>
      <c r="E124" s="56" t="s">
        <v>60</v>
      </c>
      <c r="F124" s="56">
        <f>B26</f>
        <v>3.896103896103896E-2</v>
      </c>
      <c r="G124" s="56">
        <f>B27</f>
        <v>3.2732732732732736E-2</v>
      </c>
      <c r="H124" s="56">
        <f>B28</f>
        <v>0</v>
      </c>
      <c r="I124" s="56">
        <f>(B29*G111)+(B30*G112)+(B31*G113)</f>
        <v>0.28242821473158553</v>
      </c>
      <c r="J124" s="56">
        <f>B32</f>
        <v>0.13043478260869565</v>
      </c>
      <c r="K124" s="56">
        <f>B33</f>
        <v>0</v>
      </c>
      <c r="L124" s="56">
        <f>B34</f>
        <v>7.1428571428571425E-2</v>
      </c>
      <c r="M124" s="56">
        <f>B35</f>
        <v>0.19</v>
      </c>
      <c r="N124" s="56" t="s">
        <v>60</v>
      </c>
      <c r="O124" s="14"/>
    </row>
    <row r="125" spans="1:39" x14ac:dyDescent="0.3">
      <c r="A125" s="3" t="s">
        <v>136</v>
      </c>
      <c r="B125" s="16">
        <f>B122*B124</f>
        <v>390824.20064996352</v>
      </c>
      <c r="C125" s="16">
        <f>C122*C124</f>
        <v>2444.5172097757363</v>
      </c>
      <c r="D125" s="16">
        <f>D122*D124</f>
        <v>2570.3848333333331</v>
      </c>
      <c r="E125" s="16" t="s">
        <v>60</v>
      </c>
      <c r="F125" s="16">
        <f t="shared" ref="F125:M125" si="2">F122*F124</f>
        <v>17664.343654921246</v>
      </c>
      <c r="G125" s="16">
        <f t="shared" si="2"/>
        <v>422918.4913208693</v>
      </c>
      <c r="H125" s="16">
        <f t="shared" si="2"/>
        <v>0</v>
      </c>
      <c r="I125" s="16">
        <f t="shared" si="2"/>
        <v>1353895.8899138367</v>
      </c>
      <c r="J125" s="16">
        <f t="shared" si="2"/>
        <v>10945.146739851558</v>
      </c>
      <c r="K125" s="16">
        <f t="shared" si="2"/>
        <v>0</v>
      </c>
      <c r="L125" s="16">
        <f t="shared" si="2"/>
        <v>2615.0136255604561</v>
      </c>
      <c r="M125" s="16">
        <f t="shared" si="2"/>
        <v>30368.610323500892</v>
      </c>
      <c r="N125" s="16" t="s">
        <v>60</v>
      </c>
      <c r="O125" s="16">
        <f>SUM(B125:N125)</f>
        <v>2234246.5982716125</v>
      </c>
      <c r="P125" s="34"/>
      <c r="R125" s="34"/>
    </row>
    <row r="126" spans="1:39" x14ac:dyDescent="0.3">
      <c r="A126" s="3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14"/>
      <c r="P126" s="34"/>
    </row>
    <row r="127" spans="1:39" ht="28.8" x14ac:dyDescent="0.3">
      <c r="A127" s="3" t="s">
        <v>157</v>
      </c>
      <c r="B127" s="56">
        <f>B5</f>
        <v>0.70995953746468854</v>
      </c>
      <c r="C127" s="56">
        <f>B6</f>
        <v>0.66979717905292702</v>
      </c>
      <c r="D127" s="56">
        <f>B7</f>
        <v>0.66555238660608484</v>
      </c>
      <c r="E127" s="14" t="s">
        <v>60</v>
      </c>
      <c r="F127" s="56">
        <f>B9</f>
        <v>0.61434991487349477</v>
      </c>
      <c r="G127" s="56">
        <f>D10</f>
        <v>0.91265427194236981</v>
      </c>
      <c r="H127" s="56">
        <f>B11</f>
        <v>0.90869584409264925</v>
      </c>
      <c r="I127" s="56">
        <f>D12</f>
        <v>0.57950974046057857</v>
      </c>
      <c r="J127" s="56">
        <f>B13</f>
        <v>0</v>
      </c>
      <c r="K127" s="56">
        <f>B14</f>
        <v>8.6999999999999994E-2</v>
      </c>
      <c r="L127" s="56">
        <f>B15</f>
        <v>0.40970338842387766</v>
      </c>
      <c r="M127" s="14" t="s">
        <v>60</v>
      </c>
      <c r="N127" s="14" t="s">
        <v>60</v>
      </c>
      <c r="O127" s="14"/>
      <c r="S127" s="1"/>
    </row>
    <row r="128" spans="1:39" x14ac:dyDescent="0.3">
      <c r="A128" s="3" t="s">
        <v>139</v>
      </c>
      <c r="B128" s="16">
        <f>(B122-B125)*B127</f>
        <v>108484.26446330562</v>
      </c>
      <c r="C128" s="16">
        <f t="shared" ref="C128:L128" si="3">(C122-C125)*C127</f>
        <v>3274.6614625082416</v>
      </c>
      <c r="D128" s="16">
        <f t="shared" si="3"/>
        <v>8553.6288016054168</v>
      </c>
      <c r="E128" s="16" t="s">
        <v>60</v>
      </c>
      <c r="F128" s="16">
        <f t="shared" si="3"/>
        <v>267684.83784385998</v>
      </c>
      <c r="G128" s="16">
        <f t="shared" si="3"/>
        <v>11405837.822415216</v>
      </c>
      <c r="H128" s="16">
        <f t="shared" si="3"/>
        <v>791218.57918686885</v>
      </c>
      <c r="I128" s="16">
        <f>(I122-I125)*I127</f>
        <v>1993440.5260375841</v>
      </c>
      <c r="J128" s="16">
        <f t="shared" si="3"/>
        <v>0</v>
      </c>
      <c r="K128" s="16">
        <f t="shared" si="3"/>
        <v>7901.4601078770092</v>
      </c>
      <c r="L128" s="16">
        <f t="shared" si="3"/>
        <v>13927.939261167465</v>
      </c>
      <c r="M128" s="16" t="s">
        <v>60</v>
      </c>
      <c r="N128" s="16" t="s">
        <v>60</v>
      </c>
      <c r="O128" s="16">
        <f>SUM(B128:N128)</f>
        <v>14600323.719579995</v>
      </c>
      <c r="P128" s="34"/>
      <c r="Q128" s="1"/>
    </row>
    <row r="129" spans="1:15" x14ac:dyDescent="0.3">
      <c r="A129" s="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28.8" x14ac:dyDescent="0.3">
      <c r="A130" s="3" t="s">
        <v>158</v>
      </c>
      <c r="B130" s="56">
        <f>C5</f>
        <v>0.29004046253531146</v>
      </c>
      <c r="C130" s="56">
        <f>C6</f>
        <v>0.33020282094707298</v>
      </c>
      <c r="D130" s="56">
        <f>C7</f>
        <v>0.33444761339391516</v>
      </c>
      <c r="E130" s="14" t="s">
        <v>60</v>
      </c>
      <c r="F130" s="56">
        <f>C9</f>
        <v>0.38565008512650523</v>
      </c>
      <c r="G130" s="56">
        <f>E10</f>
        <v>8.7345728057630176E-2</v>
      </c>
      <c r="H130" s="56">
        <f>C11</f>
        <v>9.1304155907350748E-2</v>
      </c>
      <c r="I130" s="56">
        <f>E12</f>
        <v>0.42049025953942143</v>
      </c>
      <c r="J130" s="56">
        <f>C13</f>
        <v>1</v>
      </c>
      <c r="K130" s="56">
        <f>C14</f>
        <v>0.91300000000000003</v>
      </c>
      <c r="L130" s="56">
        <f>C15</f>
        <v>0.59029661157612234</v>
      </c>
      <c r="M130" s="14" t="s">
        <v>60</v>
      </c>
      <c r="N130" s="14" t="s">
        <v>60</v>
      </c>
      <c r="O130" s="14"/>
    </row>
    <row r="131" spans="1:15" x14ac:dyDescent="0.3">
      <c r="A131" s="3" t="s">
        <v>140</v>
      </c>
      <c r="B131" s="16">
        <f>(B122-B125)*B130</f>
        <v>44319.182407356828</v>
      </c>
      <c r="C131" s="16">
        <f t="shared" ref="C131:L131" si="4">(C122-C125)*C130</f>
        <v>1614.3729570432322</v>
      </c>
      <c r="D131" s="16">
        <f t="shared" si="4"/>
        <v>4298.295365061248</v>
      </c>
      <c r="E131" s="16" t="s">
        <v>60</v>
      </c>
      <c r="F131" s="16">
        <f t="shared" si="4"/>
        <v>168035.63897753079</v>
      </c>
      <c r="G131" s="16">
        <f t="shared" si="4"/>
        <v>1091597.5954244162</v>
      </c>
      <c r="H131" s="16">
        <f t="shared" si="4"/>
        <v>79500.247503613296</v>
      </c>
      <c r="I131" s="16">
        <f>(I122-I125)*I130</f>
        <v>1446433.5379483839</v>
      </c>
      <c r="J131" s="16">
        <f t="shared" si="4"/>
        <v>72967.644932343726</v>
      </c>
      <c r="K131" s="16">
        <f t="shared" si="4"/>
        <v>82919.920442433446</v>
      </c>
      <c r="L131" s="16">
        <f t="shared" si="4"/>
        <v>20067.237871118465</v>
      </c>
      <c r="M131" s="16" t="s">
        <v>60</v>
      </c>
      <c r="N131" s="16" t="s">
        <v>60</v>
      </c>
      <c r="O131" s="16">
        <f>SUM(B131:N131)</f>
        <v>3011753.6738293013</v>
      </c>
    </row>
    <row r="132" spans="1:15" ht="14.4" customHeight="1" x14ac:dyDescent="0.3">
      <c r="K132" s="1"/>
    </row>
    <row r="133" spans="1:15" x14ac:dyDescent="0.3">
      <c r="A133" s="3" t="s">
        <v>242</v>
      </c>
      <c r="B133" s="1"/>
      <c r="E133" s="16">
        <f>E122</f>
        <v>33768.277682061744</v>
      </c>
      <c r="K133" s="1"/>
      <c r="N133" s="16">
        <f>N122</f>
        <v>50944.390784213654</v>
      </c>
      <c r="O133" s="16">
        <f>SUM(B133:N133)</f>
        <v>84712.668466275398</v>
      </c>
    </row>
    <row r="135" spans="1:15" x14ac:dyDescent="0.3">
      <c r="K135" s="1"/>
      <c r="L135" s="22"/>
    </row>
    <row r="136" spans="1:15" x14ac:dyDescent="0.3">
      <c r="K136" s="41"/>
    </row>
    <row r="140" spans="1:15" x14ac:dyDescent="0.3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</row>
  </sheetData>
  <mergeCells count="4">
    <mergeCell ref="B3:C3"/>
    <mergeCell ref="D3:E3"/>
    <mergeCell ref="F3:G3"/>
    <mergeCell ref="B40:J40"/>
  </mergeCells>
  <conditionalFormatting sqref="D114:E116 D100:E112">
    <cfRule type="cellIs" dxfId="0" priority="2" operator="equal">
      <formula>0</formula>
    </cfRule>
  </conditionalFormatting>
  <pageMargins left="0.7" right="0.7" top="0.75" bottom="0.75" header="0.3" footer="0.3"/>
  <pageSetup orientation="portrait" horizontalDpi="360" verticalDpi="360" r:id="rId1"/>
  <ignoredErrors>
    <ignoredError sqref="E6:E8 E11" formula="1"/>
    <ignoredError sqref="E5 E9:E10" formula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1DEA-800D-4B0C-BC3C-4ADDC1B16A82}">
  <dimension ref="A2:S89"/>
  <sheetViews>
    <sheetView zoomScale="68" zoomScaleNormal="70" workbookViewId="0">
      <selection activeCell="N84" sqref="N84"/>
    </sheetView>
  </sheetViews>
  <sheetFormatPr defaultRowHeight="14.4" x14ac:dyDescent="0.3"/>
  <cols>
    <col min="1" max="1" width="31" customWidth="1"/>
    <col min="2" max="16" width="14.5546875" customWidth="1"/>
  </cols>
  <sheetData>
    <row r="2" spans="1:18" ht="43.2" x14ac:dyDescent="0.3">
      <c r="A2" s="10" t="s">
        <v>159</v>
      </c>
      <c r="B2" s="9" t="s">
        <v>102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8" x14ac:dyDescent="0.3">
      <c r="B4" t="s">
        <v>66</v>
      </c>
      <c r="C4" s="3" t="s">
        <v>88</v>
      </c>
      <c r="D4" t="s">
        <v>67</v>
      </c>
      <c r="E4" t="s">
        <v>68</v>
      </c>
    </row>
    <row r="5" spans="1:18" x14ac:dyDescent="0.3">
      <c r="A5" t="s">
        <v>15</v>
      </c>
      <c r="B5" s="25">
        <v>0.996</v>
      </c>
      <c r="C5" s="25">
        <v>0</v>
      </c>
      <c r="D5" s="25">
        <v>0</v>
      </c>
      <c r="E5" s="32">
        <f>1-SUM(B5:D5)</f>
        <v>4.0000000000000036E-3</v>
      </c>
      <c r="R5" s="35"/>
    </row>
    <row r="6" spans="1:18" x14ac:dyDescent="0.3">
      <c r="A6" t="s">
        <v>1</v>
      </c>
      <c r="B6" s="25">
        <v>1</v>
      </c>
      <c r="C6" s="25">
        <v>0</v>
      </c>
      <c r="D6" s="25">
        <v>0</v>
      </c>
      <c r="E6" s="25">
        <v>0</v>
      </c>
    </row>
    <row r="7" spans="1:18" x14ac:dyDescent="0.3">
      <c r="A7" t="s">
        <v>2</v>
      </c>
      <c r="B7" s="25">
        <v>1</v>
      </c>
      <c r="C7" s="25">
        <v>0</v>
      </c>
      <c r="D7" s="25">
        <v>0</v>
      </c>
      <c r="E7" s="25">
        <v>0</v>
      </c>
    </row>
    <row r="8" spans="1:18" x14ac:dyDescent="0.3">
      <c r="A8" t="s">
        <v>3</v>
      </c>
      <c r="B8" s="25" t="s">
        <v>60</v>
      </c>
      <c r="C8" s="25" t="s">
        <v>60</v>
      </c>
      <c r="D8" s="25" t="s">
        <v>60</v>
      </c>
      <c r="E8" s="25" t="s">
        <v>60</v>
      </c>
    </row>
    <row r="9" spans="1:18" x14ac:dyDescent="0.3">
      <c r="A9" t="s">
        <v>4</v>
      </c>
      <c r="B9" s="25">
        <v>0.29699999999999999</v>
      </c>
      <c r="C9" s="25">
        <v>0.69799999999999995</v>
      </c>
      <c r="D9" s="25">
        <v>0</v>
      </c>
      <c r="E9" s="32">
        <f>1-SUM(B9:D9)</f>
        <v>5.0000000000001155E-3</v>
      </c>
    </row>
    <row r="10" spans="1:18" x14ac:dyDescent="0.3">
      <c r="A10" t="s">
        <v>5</v>
      </c>
      <c r="B10" s="25">
        <v>0.99199999999999999</v>
      </c>
      <c r="C10" s="25">
        <v>0</v>
      </c>
      <c r="D10" s="25">
        <v>0</v>
      </c>
      <c r="E10" s="32">
        <f>1-SUM(B10:D10)</f>
        <v>8.0000000000000071E-3</v>
      </c>
      <c r="G10" s="20"/>
    </row>
    <row r="11" spans="1:18" x14ac:dyDescent="0.3">
      <c r="A11" t="s">
        <v>16</v>
      </c>
      <c r="B11" s="25">
        <v>1</v>
      </c>
      <c r="C11" s="25">
        <v>0</v>
      </c>
      <c r="D11" s="25">
        <v>0</v>
      </c>
      <c r="E11" s="25">
        <v>0</v>
      </c>
    </row>
    <row r="12" spans="1:18" x14ac:dyDescent="0.3">
      <c r="A12" t="s">
        <v>86</v>
      </c>
      <c r="B12" s="25" t="s">
        <v>60</v>
      </c>
      <c r="C12" s="25" t="s">
        <v>60</v>
      </c>
      <c r="D12" s="25" t="s">
        <v>60</v>
      </c>
      <c r="E12" s="25" t="s">
        <v>60</v>
      </c>
    </row>
    <row r="13" spans="1:18" x14ac:dyDescent="0.3">
      <c r="A13" t="s">
        <v>6</v>
      </c>
      <c r="B13" s="25">
        <v>1</v>
      </c>
      <c r="C13" s="25">
        <v>0</v>
      </c>
      <c r="D13" s="25">
        <v>0</v>
      </c>
      <c r="E13" s="25">
        <v>0</v>
      </c>
    </row>
    <row r="14" spans="1:18" x14ac:dyDescent="0.3">
      <c r="A14" t="s">
        <v>7</v>
      </c>
      <c r="B14" s="25">
        <v>1</v>
      </c>
      <c r="C14" s="25">
        <v>0</v>
      </c>
      <c r="D14" s="25">
        <v>0</v>
      </c>
      <c r="E14" s="25">
        <v>0</v>
      </c>
    </row>
    <row r="15" spans="1:18" x14ac:dyDescent="0.3">
      <c r="A15" t="s">
        <v>17</v>
      </c>
      <c r="B15" s="25">
        <v>0.26</v>
      </c>
      <c r="C15" s="25">
        <v>0.73</v>
      </c>
      <c r="D15" s="25">
        <v>0</v>
      </c>
      <c r="E15" s="32">
        <f>1-SUM(B15:D15)</f>
        <v>1.0000000000000009E-2</v>
      </c>
    </row>
    <row r="16" spans="1:18" x14ac:dyDescent="0.3">
      <c r="A16" t="s">
        <v>9</v>
      </c>
      <c r="B16" s="25">
        <v>0.375</v>
      </c>
      <c r="C16" s="25">
        <v>0</v>
      </c>
      <c r="D16" s="32">
        <f>1-B16</f>
        <v>0.625</v>
      </c>
      <c r="E16" s="25">
        <v>0</v>
      </c>
    </row>
    <row r="17" spans="1:16" x14ac:dyDescent="0.3">
      <c r="A17" t="s">
        <v>87</v>
      </c>
      <c r="B17" s="25" t="s">
        <v>60</v>
      </c>
      <c r="C17" s="25" t="s">
        <v>60</v>
      </c>
      <c r="D17" s="25" t="s">
        <v>60</v>
      </c>
      <c r="E17" s="25" t="s">
        <v>60</v>
      </c>
    </row>
    <row r="18" spans="1:16" x14ac:dyDescent="0.3">
      <c r="B18" s="24"/>
    </row>
    <row r="20" spans="1:16" ht="28.8" x14ac:dyDescent="0.3">
      <c r="A20" s="10" t="s">
        <v>133</v>
      </c>
      <c r="B20" s="9" t="s">
        <v>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2" spans="1:16" ht="43.2" x14ac:dyDescent="0.3">
      <c r="B22" s="3" t="s">
        <v>66</v>
      </c>
      <c r="C22" s="3" t="s">
        <v>70</v>
      </c>
      <c r="D22" s="3" t="s">
        <v>69</v>
      </c>
      <c r="E22" s="3" t="s">
        <v>67</v>
      </c>
      <c r="F22" s="3" t="s">
        <v>68</v>
      </c>
      <c r="G22" s="3" t="s">
        <v>22</v>
      </c>
    </row>
    <row r="23" spans="1:16" ht="43.2" x14ac:dyDescent="0.3">
      <c r="A23" s="3" t="s">
        <v>101</v>
      </c>
      <c r="B23">
        <v>22546000</v>
      </c>
      <c r="C23">
        <v>1268000</v>
      </c>
      <c r="D23">
        <v>5000</v>
      </c>
      <c r="E23">
        <v>355000</v>
      </c>
      <c r="F23">
        <v>14000</v>
      </c>
      <c r="G23" s="29">
        <v>24187000</v>
      </c>
    </row>
    <row r="24" spans="1:16" x14ac:dyDescent="0.3">
      <c r="A24" t="s">
        <v>100</v>
      </c>
      <c r="B24" s="33">
        <f t="shared" ref="B24:G24" si="0">B23/$G$23</f>
        <v>0.93215363625087855</v>
      </c>
      <c r="C24" s="33">
        <f t="shared" si="0"/>
        <v>5.2424856327779386E-2</v>
      </c>
      <c r="D24" s="33">
        <f t="shared" si="0"/>
        <v>2.0672261958903544E-4</v>
      </c>
      <c r="E24" s="33">
        <f t="shared" si="0"/>
        <v>1.4677305990821515E-2</v>
      </c>
      <c r="F24" s="33">
        <f t="shared" si="0"/>
        <v>5.7882333484929923E-4</v>
      </c>
      <c r="G24" s="33">
        <f t="shared" si="0"/>
        <v>1</v>
      </c>
    </row>
    <row r="27" spans="1:16" ht="28.8" x14ac:dyDescent="0.3">
      <c r="A27" s="10" t="s">
        <v>92</v>
      </c>
      <c r="B27" s="9" t="s">
        <v>93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9" spans="1:16" ht="28.8" x14ac:dyDescent="0.3">
      <c r="B29" s="3" t="s">
        <v>95</v>
      </c>
      <c r="C29" s="3" t="s">
        <v>94</v>
      </c>
      <c r="D29" s="3" t="s">
        <v>89</v>
      </c>
      <c r="E29" s="3" t="s">
        <v>90</v>
      </c>
      <c r="F29" s="3" t="s">
        <v>105</v>
      </c>
      <c r="G29" s="3" t="s">
        <v>106</v>
      </c>
      <c r="H29" s="3" t="s">
        <v>107</v>
      </c>
    </row>
    <row r="30" spans="1:16" x14ac:dyDescent="0.3">
      <c r="A30" t="s">
        <v>96</v>
      </c>
      <c r="B30">
        <v>3400000</v>
      </c>
      <c r="C30">
        <v>15000</v>
      </c>
      <c r="D30">
        <v>173000</v>
      </c>
      <c r="E30" s="29" t="s">
        <v>60</v>
      </c>
      <c r="F30" s="33">
        <f>B30/SUM($B30:$D30)</f>
        <v>0.94760312151616499</v>
      </c>
      <c r="G30" s="33">
        <f t="shared" ref="G30:H30" si="1">C30/SUM($B30:$D30)</f>
        <v>4.180602006688963E-3</v>
      </c>
      <c r="H30" s="33">
        <f t="shared" si="1"/>
        <v>4.821627647714604E-2</v>
      </c>
    </row>
    <row r="31" spans="1:16" x14ac:dyDescent="0.3">
      <c r="A31" t="s">
        <v>97</v>
      </c>
      <c r="B31">
        <v>168000</v>
      </c>
      <c r="C31">
        <v>8000</v>
      </c>
      <c r="D31">
        <v>8500</v>
      </c>
      <c r="E31" s="29" t="s">
        <v>60</v>
      </c>
      <c r="F31" s="33">
        <f>B31/SUM($B31:$D31)</f>
        <v>0.91056910569105687</v>
      </c>
      <c r="G31" s="33">
        <f t="shared" ref="G31:G32" si="2">C31/SUM($B31:$D31)</f>
        <v>4.3360433604336043E-2</v>
      </c>
      <c r="H31" s="33">
        <f t="shared" ref="H31:H32" si="3">D31/SUM($B31:$D31)</f>
        <v>4.6070460704607047E-2</v>
      </c>
    </row>
    <row r="32" spans="1:16" x14ac:dyDescent="0.3">
      <c r="A32" t="s">
        <v>98</v>
      </c>
      <c r="B32">
        <v>12000</v>
      </c>
      <c r="C32">
        <v>21000</v>
      </c>
      <c r="D32">
        <v>28000</v>
      </c>
      <c r="E32" s="29" t="s">
        <v>60</v>
      </c>
      <c r="F32" s="33">
        <f>B32/SUM($B32:$D32)</f>
        <v>0.19672131147540983</v>
      </c>
      <c r="G32" s="33">
        <f t="shared" si="2"/>
        <v>0.34426229508196721</v>
      </c>
      <c r="H32" s="33">
        <f t="shared" si="3"/>
        <v>0.45901639344262296</v>
      </c>
    </row>
    <row r="33" spans="1:16" x14ac:dyDescent="0.3">
      <c r="A33" t="s">
        <v>99</v>
      </c>
      <c r="B33">
        <v>6000</v>
      </c>
      <c r="C33">
        <v>114000</v>
      </c>
      <c r="D33">
        <v>12000</v>
      </c>
      <c r="E33" s="29" t="s">
        <v>60</v>
      </c>
      <c r="F33" s="33">
        <f>B33/SUM($B33:$D33)</f>
        <v>4.5454545454545456E-2</v>
      </c>
      <c r="G33" s="33">
        <f t="shared" ref="G33" si="4">C33/SUM($B33:$D33)</f>
        <v>0.86363636363636365</v>
      </c>
      <c r="H33" s="33">
        <f t="shared" ref="H33" si="5">D33/SUM($B33:$D33)</f>
        <v>9.0909090909090912E-2</v>
      </c>
    </row>
    <row r="34" spans="1:16" x14ac:dyDescent="0.3">
      <c r="A34" t="s">
        <v>22</v>
      </c>
      <c r="B34" s="29">
        <v>3600000</v>
      </c>
      <c r="C34" s="29">
        <v>160000</v>
      </c>
      <c r="D34" s="29">
        <v>220000</v>
      </c>
      <c r="E34" s="29">
        <v>4100000</v>
      </c>
      <c r="F34" s="33">
        <f>B34/$E$34</f>
        <v>0.87804878048780488</v>
      </c>
      <c r="G34" s="33">
        <f t="shared" ref="G34:H34" si="6">C34/$E$34</f>
        <v>3.9024390243902439E-2</v>
      </c>
      <c r="H34" s="33">
        <f t="shared" si="6"/>
        <v>5.3658536585365853E-2</v>
      </c>
    </row>
    <row r="35" spans="1:16" x14ac:dyDescent="0.3">
      <c r="B35" s="24"/>
      <c r="C35" s="24"/>
      <c r="D35" s="24"/>
      <c r="E35" s="24"/>
    </row>
    <row r="37" spans="1:16" ht="57.6" x14ac:dyDescent="0.3">
      <c r="A37" s="10" t="s">
        <v>160</v>
      </c>
      <c r="B37" s="9" t="s">
        <v>104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9" spans="1:16" ht="28.8" x14ac:dyDescent="0.3">
      <c r="B39" s="31" t="s">
        <v>103</v>
      </c>
    </row>
    <row r="40" spans="1:16" x14ac:dyDescent="0.3">
      <c r="A40" t="s">
        <v>15</v>
      </c>
      <c r="B40" s="25">
        <v>0.95</v>
      </c>
    </row>
    <row r="41" spans="1:16" x14ac:dyDescent="0.3">
      <c r="A41" t="s">
        <v>1</v>
      </c>
      <c r="B41" s="25" t="s">
        <v>60</v>
      </c>
    </row>
    <row r="42" spans="1:16" x14ac:dyDescent="0.3">
      <c r="A42" t="s">
        <v>2</v>
      </c>
      <c r="B42" s="25">
        <v>0.95</v>
      </c>
    </row>
    <row r="43" spans="1:16" x14ac:dyDescent="0.3">
      <c r="A43" t="s">
        <v>3</v>
      </c>
      <c r="B43" s="25" t="s">
        <v>60</v>
      </c>
    </row>
    <row r="44" spans="1:16" x14ac:dyDescent="0.3">
      <c r="A44" t="s">
        <v>4</v>
      </c>
      <c r="B44" s="25">
        <v>0.95</v>
      </c>
    </row>
    <row r="45" spans="1:16" x14ac:dyDescent="0.3">
      <c r="A45" t="s">
        <v>5</v>
      </c>
      <c r="B45" s="25">
        <v>0.85</v>
      </c>
    </row>
    <row r="46" spans="1:16" x14ac:dyDescent="0.3">
      <c r="A46" t="s">
        <v>16</v>
      </c>
      <c r="B46" s="25">
        <v>0.95</v>
      </c>
    </row>
    <row r="47" spans="1:16" x14ac:dyDescent="0.3">
      <c r="A47" t="s">
        <v>86</v>
      </c>
      <c r="B47" s="25" t="s">
        <v>60</v>
      </c>
    </row>
    <row r="48" spans="1:16" x14ac:dyDescent="0.3">
      <c r="A48" t="s">
        <v>6</v>
      </c>
      <c r="B48" s="25">
        <v>0.95</v>
      </c>
    </row>
    <row r="49" spans="1:18" x14ac:dyDescent="0.3">
      <c r="A49" t="s">
        <v>7</v>
      </c>
      <c r="B49" s="25">
        <v>0.95</v>
      </c>
    </row>
    <row r="50" spans="1:18" x14ac:dyDescent="0.3">
      <c r="A50" t="s">
        <v>17</v>
      </c>
      <c r="B50" s="25" t="s">
        <v>60</v>
      </c>
    </row>
    <row r="51" spans="1:18" x14ac:dyDescent="0.3">
      <c r="A51" t="s">
        <v>9</v>
      </c>
      <c r="B51" s="25" t="s">
        <v>60</v>
      </c>
      <c r="P51" s="1"/>
    </row>
    <row r="52" spans="1:18" x14ac:dyDescent="0.3">
      <c r="A52" t="s">
        <v>87</v>
      </c>
      <c r="B52" s="25" t="s">
        <v>60</v>
      </c>
    </row>
    <row r="55" spans="1:18" ht="43.2" x14ac:dyDescent="0.3">
      <c r="A55" s="10" t="s">
        <v>167</v>
      </c>
      <c r="B55" s="9" t="s">
        <v>93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8" ht="57.6" x14ac:dyDescent="0.3">
      <c r="B56" s="3" t="s">
        <v>165</v>
      </c>
      <c r="C56" s="3" t="s">
        <v>166</v>
      </c>
    </row>
    <row r="57" spans="1:18" ht="28.8" x14ac:dyDescent="0.3">
      <c r="A57" s="3" t="s">
        <v>162</v>
      </c>
      <c r="B57">
        <v>3.6</v>
      </c>
      <c r="C57" s="58">
        <f>B57/$B$57</f>
        <v>1</v>
      </c>
    </row>
    <row r="58" spans="1:18" ht="28.8" x14ac:dyDescent="0.3">
      <c r="A58" s="3" t="s">
        <v>163</v>
      </c>
      <c r="B58">
        <v>0.20799999999999999</v>
      </c>
      <c r="C58" s="58">
        <f>B58/$B$57</f>
        <v>5.7777777777777775E-2</v>
      </c>
    </row>
    <row r="59" spans="1:18" ht="28.8" x14ac:dyDescent="0.3">
      <c r="A59" s="3" t="s">
        <v>164</v>
      </c>
      <c r="B59">
        <v>3.4</v>
      </c>
      <c r="C59" s="58">
        <f>B59/$B$57</f>
        <v>0.94444444444444442</v>
      </c>
    </row>
    <row r="60" spans="1:18" x14ac:dyDescent="0.3">
      <c r="R60" s="30"/>
    </row>
    <row r="61" spans="1:18" x14ac:dyDescent="0.3">
      <c r="R61" s="30"/>
    </row>
    <row r="62" spans="1:18" ht="28.8" x14ac:dyDescent="0.3">
      <c r="A62" s="10" t="s">
        <v>161</v>
      </c>
      <c r="B62" s="9" t="s">
        <v>168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R62" s="30"/>
    </row>
    <row r="63" spans="1:18" x14ac:dyDescent="0.3">
      <c r="B63" t="s">
        <v>15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16</v>
      </c>
      <c r="I63" t="s">
        <v>86</v>
      </c>
      <c r="J63" t="s">
        <v>6</v>
      </c>
      <c r="K63" t="s">
        <v>7</v>
      </c>
      <c r="L63" t="s">
        <v>17</v>
      </c>
      <c r="M63" t="s">
        <v>9</v>
      </c>
      <c r="N63" t="s">
        <v>87</v>
      </c>
      <c r="R63" s="30"/>
    </row>
    <row r="64" spans="1:18" x14ac:dyDescent="0.3">
      <c r="A64" t="s">
        <v>110</v>
      </c>
      <c r="B64" s="24" cm="1">
        <f t="array" ref="B64:B67">TRANSPOSE(B5:E5)</f>
        <v>0.996</v>
      </c>
      <c r="C64" s="24" cm="1">
        <f t="array" ref="C64:C67">TRANSPOSE(B6:E6)</f>
        <v>1</v>
      </c>
      <c r="D64" s="24" cm="1">
        <f t="array" ref="D64:D67">TRANSPOSE(B7:E7)</f>
        <v>1</v>
      </c>
      <c r="E64" s="24" cm="1">
        <f t="array" ref="E64:E66">TRANSPOSE(F31:H31)</f>
        <v>0.91056910569105687</v>
      </c>
      <c r="F64" s="24" cm="1">
        <f t="array" ref="F64:F67">TRANSPOSE(B9:E9)</f>
        <v>0.29699999999999999</v>
      </c>
      <c r="G64" s="24" cm="1">
        <f t="array" ref="G64:G67">TRANSPOSE(B10:E10)</f>
        <v>0.99199999999999999</v>
      </c>
      <c r="H64" s="24" cm="1">
        <f t="array" ref="H64:H67">TRANSPOSE(B11:E11)</f>
        <v>1</v>
      </c>
      <c r="I64" s="24" cm="1">
        <f t="array" ref="I64:I66">TRANSPOSE(F30:H30)</f>
        <v>0.94760312151616499</v>
      </c>
      <c r="J64" s="24" cm="1">
        <f t="array" ref="J64:J67">TRANSPOSE(B13:E13)</f>
        <v>1</v>
      </c>
      <c r="K64" s="24" cm="1">
        <f t="array" ref="K64:K67">TRANSPOSE(B14:E14)</f>
        <v>1</v>
      </c>
      <c r="L64" s="24" cm="1">
        <f t="array" ref="L64:L67">TRANSPOSE(B15:E15)</f>
        <v>0.26</v>
      </c>
      <c r="M64" s="24" cm="1">
        <f t="array" ref="M64:M67">TRANSPOSE(B16:E16)</f>
        <v>0.375</v>
      </c>
      <c r="N64" s="24" cm="1">
        <f t="array" ref="N64:N66">TRANSPOSE(F32:H32)</f>
        <v>0.19672131147540983</v>
      </c>
      <c r="R64" s="30"/>
    </row>
    <row r="65" spans="1:19" x14ac:dyDescent="0.3">
      <c r="A65" t="s">
        <v>112</v>
      </c>
      <c r="B65" s="24">
        <v>0</v>
      </c>
      <c r="C65" s="24">
        <v>0</v>
      </c>
      <c r="D65" s="24">
        <v>0</v>
      </c>
      <c r="E65" s="24">
        <v>4.3360433604336043E-2</v>
      </c>
      <c r="F65" s="24">
        <v>0.69799999999999995</v>
      </c>
      <c r="G65" s="24">
        <v>0</v>
      </c>
      <c r="H65" s="24">
        <v>0</v>
      </c>
      <c r="I65" s="24">
        <v>4.180602006688963E-3</v>
      </c>
      <c r="J65" s="24">
        <v>0</v>
      </c>
      <c r="K65" s="24">
        <v>0</v>
      </c>
      <c r="L65" s="24">
        <v>0.73</v>
      </c>
      <c r="M65" s="24">
        <v>0</v>
      </c>
      <c r="N65" s="24">
        <v>0.34426229508196721</v>
      </c>
      <c r="R65" s="30"/>
    </row>
    <row r="66" spans="1:19" x14ac:dyDescent="0.3">
      <c r="A66" t="s">
        <v>114</v>
      </c>
      <c r="B66" s="24">
        <v>0</v>
      </c>
      <c r="C66" s="24">
        <v>0</v>
      </c>
      <c r="D66" s="24">
        <v>0</v>
      </c>
      <c r="E66" s="24">
        <v>4.6070460704607047E-2</v>
      </c>
      <c r="F66" s="24">
        <v>0</v>
      </c>
      <c r="G66" s="24">
        <v>0</v>
      </c>
      <c r="H66" s="24">
        <v>0</v>
      </c>
      <c r="I66" s="24">
        <v>4.821627647714604E-2</v>
      </c>
      <c r="J66" s="24">
        <v>0</v>
      </c>
      <c r="K66" s="24">
        <v>0</v>
      </c>
      <c r="L66" s="24">
        <v>0</v>
      </c>
      <c r="M66" s="24">
        <v>0.625</v>
      </c>
      <c r="N66" s="24">
        <v>0.45901639344262296</v>
      </c>
      <c r="R66" s="30"/>
    </row>
    <row r="67" spans="1:19" x14ac:dyDescent="0.3">
      <c r="A67" t="s">
        <v>116</v>
      </c>
      <c r="B67" s="24">
        <v>4.0000000000000036E-3</v>
      </c>
      <c r="C67" s="24">
        <v>0</v>
      </c>
      <c r="D67" s="24">
        <v>0</v>
      </c>
      <c r="E67" s="24">
        <f t="shared" ref="E67:N67" si="7">1-SUM(E64:E66)</f>
        <v>0</v>
      </c>
      <c r="F67" s="24">
        <v>5.0000000000001155E-3</v>
      </c>
      <c r="G67" s="24">
        <v>8.0000000000000071E-3</v>
      </c>
      <c r="H67" s="24">
        <v>0</v>
      </c>
      <c r="I67" s="24">
        <f t="shared" si="7"/>
        <v>0</v>
      </c>
      <c r="J67" s="24">
        <v>0</v>
      </c>
      <c r="K67" s="24">
        <v>0</v>
      </c>
      <c r="L67" s="24">
        <v>1.0000000000000009E-2</v>
      </c>
      <c r="M67" s="24">
        <v>0</v>
      </c>
      <c r="N67" s="24">
        <f t="shared" si="7"/>
        <v>0</v>
      </c>
      <c r="Q67" s="1"/>
    </row>
    <row r="70" spans="1:19" x14ac:dyDescent="0.3">
      <c r="A70" s="10" t="s">
        <v>108</v>
      </c>
      <c r="B70" s="9" t="s">
        <v>39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9" x14ac:dyDescent="0.3">
      <c r="B71" t="s">
        <v>15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16</v>
      </c>
      <c r="I71" t="s">
        <v>86</v>
      </c>
      <c r="J71" t="s">
        <v>6</v>
      </c>
      <c r="K71" t="s">
        <v>7</v>
      </c>
      <c r="L71" t="s">
        <v>17</v>
      </c>
      <c r="M71" t="s">
        <v>9</v>
      </c>
      <c r="N71" t="s">
        <v>87</v>
      </c>
      <c r="O71" t="s">
        <v>22</v>
      </c>
      <c r="P71" t="s">
        <v>14</v>
      </c>
    </row>
    <row r="72" spans="1:19" x14ac:dyDescent="0.3">
      <c r="A72" t="s">
        <v>109</v>
      </c>
      <c r="B72" s="16">
        <f>'Material Stocks and Flows 2019'!C144</f>
        <v>86729.485003387876</v>
      </c>
      <c r="C72" s="16">
        <f>'Material Stocks and Flows 2019'!D144</f>
        <v>1834.2805072551412</v>
      </c>
      <c r="D72" s="16">
        <f>'Material Stocks and Flows 2019'!E144</f>
        <v>1130.3397749999999</v>
      </c>
      <c r="E72" s="16">
        <f>'Material Stocks and Flows 2019'!F144</f>
        <v>11216.342909005827</v>
      </c>
      <c r="F72" s="16">
        <f>'Material Stocks and Flows 2019'!G144</f>
        <v>155497.99501068873</v>
      </c>
      <c r="G72" s="16">
        <f>'Material Stocks and Flows 2019'!H144</f>
        <v>1883257.7992174001</v>
      </c>
      <c r="H72" s="16">
        <f>'Material Stocks and Flows 2019'!I144</f>
        <v>276010.93557644746</v>
      </c>
      <c r="I72" s="16">
        <f>'Material Stocks and Flows 2019'!J144</f>
        <v>373350.76617118949</v>
      </c>
      <c r="J72" s="16">
        <f>'Material Stocks and Flows 2019'!K144</f>
        <v>22354.454884962055</v>
      </c>
      <c r="K72" s="16">
        <f>'Material Stocks and Flows 2019'!L144</f>
        <v>39136.861941017036</v>
      </c>
      <c r="L72" s="16">
        <f>'Material Stocks and Flows 2019'!M144</f>
        <v>12240.553441487955</v>
      </c>
      <c r="M72" s="16">
        <f>'Material Stocks and Flows 2019'!N144</f>
        <v>40164.633615628285</v>
      </c>
      <c r="N72" s="16">
        <f>'Material Stocks and Flows 2019'!O144</f>
        <v>18022.054688196633</v>
      </c>
      <c r="O72" s="16">
        <f>SUM(B72:N72)</f>
        <v>2920946.502741667</v>
      </c>
      <c r="P72" s="58">
        <v>1</v>
      </c>
      <c r="S72" s="34"/>
    </row>
    <row r="74" spans="1:19" x14ac:dyDescent="0.3">
      <c r="A74" t="s">
        <v>111</v>
      </c>
      <c r="B74" s="16">
        <f t="shared" ref="B74:N74" si="8">B$72*B64</f>
        <v>86382.567063374328</v>
      </c>
      <c r="C74" s="16">
        <f t="shared" si="8"/>
        <v>1834.2805072551412</v>
      </c>
      <c r="D74" s="16">
        <f t="shared" si="8"/>
        <v>1130.3397749999999</v>
      </c>
      <c r="E74" s="16">
        <f t="shared" si="8"/>
        <v>10213.255331777664</v>
      </c>
      <c r="F74" s="16">
        <f t="shared" si="8"/>
        <v>46182.904518174546</v>
      </c>
      <c r="G74" s="16">
        <f t="shared" si="8"/>
        <v>1868191.736823661</v>
      </c>
      <c r="H74" s="16">
        <f t="shared" si="8"/>
        <v>276010.93557644746</v>
      </c>
      <c r="I74" s="16">
        <f t="shared" si="8"/>
        <v>353788.35144427099</v>
      </c>
      <c r="J74" s="16">
        <f t="shared" si="8"/>
        <v>22354.454884962055</v>
      </c>
      <c r="K74" s="16">
        <f t="shared" si="8"/>
        <v>39136.861941017036</v>
      </c>
      <c r="L74" s="16">
        <f t="shared" si="8"/>
        <v>3182.5438947868683</v>
      </c>
      <c r="M74" s="16">
        <f t="shared" si="8"/>
        <v>15061.737605860606</v>
      </c>
      <c r="N74" s="16">
        <f t="shared" si="8"/>
        <v>3545.3222337436</v>
      </c>
      <c r="O74" s="16">
        <f t="shared" ref="O74:O77" si="9">SUM(B74:N74)</f>
        <v>2727015.2916003312</v>
      </c>
      <c r="P74" s="57">
        <f>O74/$O$72</f>
        <v>0.93360672269782841</v>
      </c>
    </row>
    <row r="75" spans="1:19" x14ac:dyDescent="0.3">
      <c r="A75" t="s">
        <v>113</v>
      </c>
      <c r="B75" s="16">
        <f t="shared" ref="B75:N75" si="10">B$72*B65</f>
        <v>0</v>
      </c>
      <c r="C75" s="16">
        <f t="shared" si="10"/>
        <v>0</v>
      </c>
      <c r="D75" s="16">
        <f t="shared" si="10"/>
        <v>0</v>
      </c>
      <c r="E75" s="16">
        <f t="shared" si="10"/>
        <v>486.34549198941255</v>
      </c>
      <c r="F75" s="16">
        <f t="shared" si="10"/>
        <v>108537.60051746073</v>
      </c>
      <c r="G75" s="16">
        <f t="shared" si="10"/>
        <v>0</v>
      </c>
      <c r="H75" s="16">
        <f t="shared" si="10"/>
        <v>0</v>
      </c>
      <c r="I75" s="16">
        <f t="shared" si="10"/>
        <v>1560.8309622541367</v>
      </c>
      <c r="J75" s="16">
        <f t="shared" si="10"/>
        <v>0</v>
      </c>
      <c r="K75" s="16">
        <f t="shared" si="10"/>
        <v>0</v>
      </c>
      <c r="L75" s="16">
        <f t="shared" si="10"/>
        <v>8935.6040122862069</v>
      </c>
      <c r="M75" s="16">
        <f t="shared" si="10"/>
        <v>0</v>
      </c>
      <c r="N75" s="16">
        <f t="shared" si="10"/>
        <v>6204.3139090512996</v>
      </c>
      <c r="O75" s="16">
        <f t="shared" si="9"/>
        <v>125724.69489304179</v>
      </c>
      <c r="P75" s="57">
        <f>O75/$O$72</f>
        <v>4.3042450375258064E-2</v>
      </c>
    </row>
    <row r="76" spans="1:19" x14ac:dyDescent="0.3">
      <c r="A76" t="s">
        <v>115</v>
      </c>
      <c r="B76" s="16">
        <f t="shared" ref="B76:N76" si="11">B$72*B66</f>
        <v>0</v>
      </c>
      <c r="C76" s="16">
        <f t="shared" si="11"/>
        <v>0</v>
      </c>
      <c r="D76" s="16">
        <f t="shared" si="11"/>
        <v>0</v>
      </c>
      <c r="E76" s="16">
        <f t="shared" si="11"/>
        <v>516.74208523875086</v>
      </c>
      <c r="F76" s="16">
        <f t="shared" si="11"/>
        <v>0</v>
      </c>
      <c r="G76" s="16">
        <f t="shared" si="11"/>
        <v>0</v>
      </c>
      <c r="H76" s="16">
        <f t="shared" si="11"/>
        <v>0</v>
      </c>
      <c r="I76" s="16">
        <f t="shared" si="11"/>
        <v>18001.583764664374</v>
      </c>
      <c r="J76" s="16">
        <f t="shared" si="11"/>
        <v>0</v>
      </c>
      <c r="K76" s="16">
        <f t="shared" si="11"/>
        <v>0</v>
      </c>
      <c r="L76" s="16">
        <f t="shared" si="11"/>
        <v>0</v>
      </c>
      <c r="M76" s="16">
        <f t="shared" si="11"/>
        <v>25102.896009767679</v>
      </c>
      <c r="N76" s="16">
        <f t="shared" si="11"/>
        <v>8272.4185454017334</v>
      </c>
      <c r="O76" s="16">
        <f t="shared" si="9"/>
        <v>51893.64040507254</v>
      </c>
      <c r="P76" s="57">
        <f>O76/$O$72</f>
        <v>1.7766035891572812E-2</v>
      </c>
    </row>
    <row r="77" spans="1:19" x14ac:dyDescent="0.3">
      <c r="A77" t="s">
        <v>117</v>
      </c>
      <c r="B77" s="16">
        <f t="shared" ref="B77:N77" si="12">B$72*B67</f>
        <v>346.9179400135518</v>
      </c>
      <c r="C77" s="16">
        <f t="shared" si="12"/>
        <v>0</v>
      </c>
      <c r="D77" s="16">
        <f t="shared" si="12"/>
        <v>0</v>
      </c>
      <c r="E77" s="16">
        <f t="shared" si="12"/>
        <v>0</v>
      </c>
      <c r="F77" s="16">
        <f t="shared" si="12"/>
        <v>777.48997505346154</v>
      </c>
      <c r="G77" s="16">
        <f t="shared" si="12"/>
        <v>15066.062393739214</v>
      </c>
      <c r="H77" s="16">
        <f t="shared" si="12"/>
        <v>0</v>
      </c>
      <c r="I77" s="16">
        <f t="shared" si="12"/>
        <v>0</v>
      </c>
      <c r="J77" s="16">
        <f t="shared" si="12"/>
        <v>0</v>
      </c>
      <c r="K77" s="16">
        <f t="shared" si="12"/>
        <v>0</v>
      </c>
      <c r="L77" s="16">
        <f t="shared" si="12"/>
        <v>122.40553441487965</v>
      </c>
      <c r="M77" s="16">
        <f t="shared" si="12"/>
        <v>0</v>
      </c>
      <c r="N77" s="16">
        <f t="shared" si="12"/>
        <v>0</v>
      </c>
      <c r="O77" s="16">
        <f t="shared" si="9"/>
        <v>16312.875843221107</v>
      </c>
      <c r="P77" s="57">
        <f>O77/$O$72</f>
        <v>5.5847910353405894E-3</v>
      </c>
    </row>
    <row r="79" spans="1:19" x14ac:dyDescent="0.3">
      <c r="A79" t="s">
        <v>169</v>
      </c>
      <c r="B79" s="60" t="s">
        <v>60</v>
      </c>
      <c r="C79" s="60" t="s">
        <v>60</v>
      </c>
      <c r="D79" s="60" t="s">
        <v>60</v>
      </c>
      <c r="E79" s="60" t="s">
        <v>60</v>
      </c>
      <c r="F79" s="60" t="s">
        <v>60</v>
      </c>
      <c r="G79" s="60" t="s">
        <v>60</v>
      </c>
      <c r="H79" s="60" t="s">
        <v>60</v>
      </c>
      <c r="I79" s="60" t="s">
        <v>60</v>
      </c>
      <c r="J79" s="60" t="s">
        <v>60</v>
      </c>
      <c r="K79" s="60" t="s">
        <v>60</v>
      </c>
      <c r="L79" s="60" t="s">
        <v>60</v>
      </c>
      <c r="M79" s="60" t="s">
        <v>60</v>
      </c>
      <c r="N79" s="60" t="s">
        <v>60</v>
      </c>
      <c r="O79" s="16">
        <f>O74*C58</f>
        <v>157560.88351468579</v>
      </c>
      <c r="P79" s="68"/>
    </row>
    <row r="81" spans="2:15" x14ac:dyDescent="0.3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 spans="2:15" x14ac:dyDescent="0.3">
      <c r="H82" s="34"/>
      <c r="O82" s="34"/>
    </row>
    <row r="84" spans="2:15" x14ac:dyDescent="0.3">
      <c r="O84" s="34"/>
    </row>
    <row r="89" spans="2:15" x14ac:dyDescent="0.3">
      <c r="E89" s="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D1B5-FE01-4AF4-9676-45CC3F583BA8}">
  <dimension ref="A2:P16"/>
  <sheetViews>
    <sheetView zoomScale="93" zoomScaleNormal="130" workbookViewId="0">
      <selection activeCell="A17" sqref="A17"/>
    </sheetView>
  </sheetViews>
  <sheetFormatPr defaultRowHeight="14.4" x14ac:dyDescent="0.3"/>
  <cols>
    <col min="1" max="1" width="60.88671875" customWidth="1"/>
    <col min="2" max="2" width="12.33203125" customWidth="1"/>
    <col min="3" max="3" width="11" customWidth="1"/>
    <col min="4" max="4" width="12" customWidth="1"/>
    <col min="5" max="5" width="13.5546875" customWidth="1"/>
    <col min="6" max="6" width="10.44140625" customWidth="1"/>
    <col min="7" max="7" width="10.5546875" customWidth="1"/>
    <col min="8" max="8" width="9.88671875" customWidth="1"/>
    <col min="9" max="9" width="13.5546875" customWidth="1"/>
    <col min="10" max="10" width="9.109375" customWidth="1"/>
    <col min="11" max="12" width="10" customWidth="1"/>
    <col min="13" max="13" width="10.6640625" customWidth="1"/>
    <col min="14" max="14" width="15.44140625" customWidth="1"/>
  </cols>
  <sheetData>
    <row r="2" spans="1:16" x14ac:dyDescent="0.3">
      <c r="A2" s="10" t="s">
        <v>265</v>
      </c>
      <c r="B2" s="9" t="s">
        <v>263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3"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16</v>
      </c>
      <c r="I3" t="s">
        <v>86</v>
      </c>
      <c r="J3" t="s">
        <v>6</v>
      </c>
      <c r="K3" t="s">
        <v>7</v>
      </c>
      <c r="L3" t="s">
        <v>17</v>
      </c>
      <c r="M3" t="s">
        <v>9</v>
      </c>
      <c r="N3" t="s">
        <v>87</v>
      </c>
    </row>
    <row r="4" spans="1:16" x14ac:dyDescent="0.3">
      <c r="A4" t="s">
        <v>252</v>
      </c>
      <c r="B4" s="2">
        <v>2.16</v>
      </c>
      <c r="C4" s="2">
        <v>6.74</v>
      </c>
      <c r="D4" s="2">
        <v>20.97</v>
      </c>
      <c r="E4" s="2">
        <v>2.16</v>
      </c>
      <c r="F4" s="2">
        <f>(0.1*0.82)+(0.08*0.18)</f>
        <v>9.64E-2</v>
      </c>
      <c r="G4" s="2">
        <v>0.12</v>
      </c>
      <c r="H4" s="2">
        <v>0.24</v>
      </c>
      <c r="I4" s="2">
        <v>0.38</v>
      </c>
      <c r="J4" s="2">
        <v>0.96</v>
      </c>
      <c r="K4" s="2">
        <v>0.73</v>
      </c>
      <c r="L4" s="2">
        <v>1.9</v>
      </c>
      <c r="M4" s="2">
        <f>(1.304*0.22)+(2.672*0.37)+(4.614*0.08)+(4.273*0.06)+(3.541*0.27)</f>
        <v>2.8570900000000004</v>
      </c>
      <c r="N4" s="2">
        <v>4</v>
      </c>
    </row>
    <row r="5" spans="1:16" x14ac:dyDescent="0.3">
      <c r="A5" t="s">
        <v>253</v>
      </c>
      <c r="B5" s="2">
        <v>0.55000000000000004</v>
      </c>
      <c r="C5" s="2">
        <v>0.31</v>
      </c>
      <c r="D5" s="2">
        <v>1.64</v>
      </c>
      <c r="E5" s="2">
        <v>0.55000000000000004</v>
      </c>
      <c r="F5" s="2">
        <f>(0.05*0.82)+(1.44*0.18)</f>
        <v>0.30019999999999997</v>
      </c>
      <c r="G5" s="2">
        <v>0.13</v>
      </c>
      <c r="H5" s="2">
        <v>0.23</v>
      </c>
      <c r="I5" s="2">
        <v>0.19</v>
      </c>
      <c r="J5" s="2">
        <v>0.82</v>
      </c>
      <c r="K5" s="2">
        <v>0.23</v>
      </c>
      <c r="L5" s="2">
        <v>1.1399999999999999</v>
      </c>
      <c r="M5" s="2">
        <f>(0.673*0.3)+(0.039*0)+(3.244*0.21)+(0.579*0.49)</f>
        <v>1.1668499999999999</v>
      </c>
      <c r="N5" s="2">
        <v>0.68</v>
      </c>
    </row>
    <row r="6" spans="1:16" x14ac:dyDescent="0.3">
      <c r="A6" t="s">
        <v>254</v>
      </c>
      <c r="B6" s="2">
        <v>0.1</v>
      </c>
      <c r="C6" s="2">
        <v>1.69</v>
      </c>
      <c r="D6" s="2">
        <v>0.44</v>
      </c>
      <c r="E6" s="2">
        <v>0.1</v>
      </c>
      <c r="F6" s="2">
        <v>4.95</v>
      </c>
      <c r="G6" s="2">
        <v>0.01</v>
      </c>
      <c r="H6" s="2">
        <v>0.01</v>
      </c>
      <c r="I6" s="2">
        <f>(0.1171+0.0372+0.0225+0.0225)/4</f>
        <v>4.9824999999999994E-2</v>
      </c>
      <c r="J6" s="2">
        <v>0.14000000000000001</v>
      </c>
      <c r="K6" s="2">
        <v>0.1</v>
      </c>
      <c r="L6" s="2">
        <v>0.09</v>
      </c>
      <c r="M6" s="2">
        <v>0.09</v>
      </c>
      <c r="N6" s="2">
        <v>0.05</v>
      </c>
    </row>
    <row r="9" spans="1:16" x14ac:dyDescent="0.3">
      <c r="A9" s="10" t="s">
        <v>264</v>
      </c>
      <c r="B9" s="9" t="s">
        <v>39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3">
      <c r="B10" t="s">
        <v>15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16</v>
      </c>
      <c r="I10" t="s">
        <v>86</v>
      </c>
      <c r="J10" t="s">
        <v>6</v>
      </c>
      <c r="K10" t="s">
        <v>7</v>
      </c>
      <c r="L10" t="s">
        <v>17</v>
      </c>
      <c r="M10" t="s">
        <v>9</v>
      </c>
      <c r="N10" t="s">
        <v>87</v>
      </c>
    </row>
    <row r="11" spans="1:16" x14ac:dyDescent="0.3">
      <c r="A11" t="s">
        <v>255</v>
      </c>
      <c r="B11" s="16">
        <f>'Material Origin'!B122-'Material Origin'!B125</f>
        <v>152803.44687066245</v>
      </c>
      <c r="C11" s="16">
        <f>'Material Origin'!C122-'Material Origin'!C125</f>
        <v>4889.0344195514735</v>
      </c>
      <c r="D11" s="16">
        <f>'Material Origin'!D122-'Material Origin'!D125</f>
        <v>12851.924166666666</v>
      </c>
      <c r="E11" s="16">
        <f>'Material Origin'!E133</f>
        <v>33768.277682061744</v>
      </c>
      <c r="F11" s="16">
        <f>'Material Origin'!F122-'Material Origin'!F125</f>
        <v>435720.47682139074</v>
      </c>
      <c r="G11" s="16">
        <f>'Material Origin'!G122-'Material Origin'!G125</f>
        <v>12497435.417839631</v>
      </c>
      <c r="H11" s="16">
        <f>'Material Origin'!H122-'Material Origin'!H125</f>
        <v>870718.82669048221</v>
      </c>
      <c r="I11" s="16">
        <f>'Material Origin'!I122-'Material Origin'!I125</f>
        <v>3439874.063985968</v>
      </c>
      <c r="J11" s="16">
        <f>'Material Origin'!J122-'Material Origin'!J125</f>
        <v>72967.644932343726</v>
      </c>
      <c r="K11" s="16">
        <f>'Material Origin'!K122-'Material Origin'!K125</f>
        <v>90821.380550310452</v>
      </c>
      <c r="L11" s="16">
        <f>'Material Origin'!L122-'Material Origin'!L125</f>
        <v>33995.177132285928</v>
      </c>
      <c r="M11" s="16">
        <f>'Material Origin'!M122-'Material Origin'!M125</f>
        <v>129466.1808528196</v>
      </c>
      <c r="N11" s="16">
        <f>'Material Origin'!N133</f>
        <v>50944.390784213654</v>
      </c>
    </row>
    <row r="12" spans="1:16" x14ac:dyDescent="0.3">
      <c r="A12" t="s">
        <v>256</v>
      </c>
      <c r="B12" s="16">
        <f>'Material Origin'!B125</f>
        <v>390824.20064996352</v>
      </c>
      <c r="C12" s="16">
        <f>'Material Origin'!C125</f>
        <v>2444.5172097757363</v>
      </c>
      <c r="D12" s="16">
        <f>'Material Origin'!D125</f>
        <v>2570.3848333333331</v>
      </c>
      <c r="E12" s="16">
        <v>0</v>
      </c>
      <c r="F12" s="16">
        <f>'Material Origin'!F125</f>
        <v>17664.343654921246</v>
      </c>
      <c r="G12" s="16">
        <f>'Material Origin'!G125</f>
        <v>422918.4913208693</v>
      </c>
      <c r="H12" s="16">
        <f>'Material Origin'!H125</f>
        <v>0</v>
      </c>
      <c r="I12" s="16">
        <f>'Material Origin'!I125</f>
        <v>1353895.8899138367</v>
      </c>
      <c r="J12" s="16">
        <f>'Material Origin'!J125</f>
        <v>10945.146739851558</v>
      </c>
      <c r="K12" s="16">
        <f>'Material Origin'!K125</f>
        <v>0</v>
      </c>
      <c r="L12" s="16">
        <f>'Material Origin'!L125</f>
        <v>2615.0136255604561</v>
      </c>
      <c r="M12" s="16">
        <f>'Material Origin'!M125</f>
        <v>30368.610323500892</v>
      </c>
      <c r="N12" s="16">
        <v>0</v>
      </c>
    </row>
    <row r="13" spans="1:16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6" x14ac:dyDescent="0.3">
      <c r="A14" t="s">
        <v>261</v>
      </c>
      <c r="B14" s="16">
        <f>B11*B4</f>
        <v>330055.44524063088</v>
      </c>
      <c r="C14" s="16">
        <f>C11*C4</f>
        <v>32952.091987776934</v>
      </c>
      <c r="D14" s="16">
        <f>D11*D4</f>
        <v>269504.84977499995</v>
      </c>
      <c r="E14" s="16">
        <f>E11*E4</f>
        <v>72939.479793253369</v>
      </c>
      <c r="F14" s="16">
        <f>F11*F4</f>
        <v>42003.45396558207</v>
      </c>
      <c r="G14" s="16">
        <f>G11*G4</f>
        <v>1499692.2501407557</v>
      </c>
      <c r="H14" s="16">
        <f>H11*H4</f>
        <v>208972.51840571573</v>
      </c>
      <c r="I14" s="16">
        <f>I11*I4</f>
        <v>1307152.1443146679</v>
      </c>
      <c r="J14" s="16">
        <f>J11*J4</f>
        <v>70048.939135049979</v>
      </c>
      <c r="K14" s="16">
        <f>K11*K4</f>
        <v>66299.607801726626</v>
      </c>
      <c r="L14" s="16">
        <f>L11*L4</f>
        <v>64590.836551343258</v>
      </c>
      <c r="M14" s="16">
        <f>M11*M4</f>
        <v>369896.53065278241</v>
      </c>
      <c r="N14" s="16">
        <f>N11*N4</f>
        <v>203777.56313685462</v>
      </c>
    </row>
    <row r="15" spans="1:16" x14ac:dyDescent="0.3">
      <c r="A15" t="s">
        <v>262</v>
      </c>
      <c r="B15" s="16">
        <f>B12*B5</f>
        <v>214953.31035747996</v>
      </c>
      <c r="C15" s="16">
        <f>C12*C5</f>
        <v>757.80033503047821</v>
      </c>
      <c r="D15" s="16">
        <f>D12*D5</f>
        <v>4215.4311266666664</v>
      </c>
      <c r="E15" s="16">
        <f>E12*E5</f>
        <v>0</v>
      </c>
      <c r="F15" s="16">
        <f>F12*F5</f>
        <v>5302.8359652073577</v>
      </c>
      <c r="G15" s="16">
        <f>G12*G5</f>
        <v>54979.40387171301</v>
      </c>
      <c r="H15" s="16">
        <f>H12*H5</f>
        <v>0</v>
      </c>
      <c r="I15" s="16">
        <f>I12*I5</f>
        <v>257240.219083629</v>
      </c>
      <c r="J15" s="16">
        <f>J12*J5</f>
        <v>8975.0203266782773</v>
      </c>
      <c r="K15" s="16">
        <f>K12*K5</f>
        <v>0</v>
      </c>
      <c r="L15" s="16">
        <f>L12*L5</f>
        <v>2981.1155331389195</v>
      </c>
      <c r="M15" s="16">
        <f>M12*M5</f>
        <v>35435.612955977012</v>
      </c>
      <c r="N15" s="16">
        <f>N12*N5</f>
        <v>0</v>
      </c>
    </row>
    <row r="16" spans="1:16" x14ac:dyDescent="0.3">
      <c r="A16" t="s">
        <v>257</v>
      </c>
      <c r="B16" s="16">
        <f>B11*B6</f>
        <v>15280.344687066245</v>
      </c>
      <c r="C16" s="16">
        <f>C11*C6</f>
        <v>8262.4681690419893</v>
      </c>
      <c r="D16" s="16">
        <f>D11*D6</f>
        <v>5654.8466333333326</v>
      </c>
      <c r="E16" s="16">
        <f>E11*E6</f>
        <v>3376.8277682061744</v>
      </c>
      <c r="F16" s="16">
        <f>F11*F6</f>
        <v>2156816.3602658841</v>
      </c>
      <c r="G16" s="16">
        <f>G11*G6</f>
        <v>124974.35417839632</v>
      </c>
      <c r="H16" s="16">
        <f>H11*H6</f>
        <v>8707.1882669048227</v>
      </c>
      <c r="I16" s="16">
        <f>I11*I6</f>
        <v>171391.72523810083</v>
      </c>
      <c r="J16" s="16">
        <f>J11*J6</f>
        <v>10215.470290528123</v>
      </c>
      <c r="K16" s="16">
        <f>K11*K6</f>
        <v>9082.138055031046</v>
      </c>
      <c r="L16" s="16">
        <f>L11*L6</f>
        <v>3059.5659419057333</v>
      </c>
      <c r="M16" s="16">
        <f>M11*M6</f>
        <v>11651.956276753763</v>
      </c>
      <c r="N16" s="16">
        <f>N11*N6</f>
        <v>2547.2195392106828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F8D89-0EBA-43A9-BC7E-CCADBECE2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 Stocks and Flows 2019</vt:lpstr>
      <vt:lpstr>Material Origin</vt:lpstr>
      <vt:lpstr>Waste Treatment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Kuperus</dc:creator>
  <cp:lastModifiedBy>Raquel Kuperus</cp:lastModifiedBy>
  <dcterms:created xsi:type="dcterms:W3CDTF">2015-06-05T18:17:20Z</dcterms:created>
  <dcterms:modified xsi:type="dcterms:W3CDTF">2023-10-29T21:06:24Z</dcterms:modified>
</cp:coreProperties>
</file>