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ariss/Projects/E-VRP-TW-V2G/data/"/>
    </mc:Choice>
  </mc:AlternateContent>
  <xr:revisionPtr revIDLastSave="0" documentId="13_ncr:1_{34553F16-0EA8-2D42-ACF3-C1F4900BA46B}" xr6:coauthVersionLast="47" xr6:coauthVersionMax="47" xr10:uidLastSave="{00000000-0000-0000-0000-000000000000}"/>
  <bookViews>
    <workbookView xWindow="0" yWindow="880" windowWidth="20560" windowHeight="25700" activeTab="1" xr2:uid="{00000000-000D-0000-FFFF-FFFF00000000}"/>
  </bookViews>
  <sheets>
    <sheet name="vehicle_parameters" sheetId="1" r:id="rId1"/>
    <sheet name="locations" sheetId="4" r:id="rId2"/>
    <sheet name="202207_energy_prices" sheetId="2" r:id="rId3"/>
    <sheet name="202010_energy_prices" sheetId="3" r:id="rId4"/>
  </sheets>
  <definedNames>
    <definedName name="mo">'202207_energy_prices'!$B$3</definedName>
    <definedName name="th">'202207_energy_prices'!$B$2</definedName>
    <definedName name="ts">'202207_energy_prices'!$B$1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32" i="1"/>
  <c r="N11" i="1"/>
  <c r="O11" i="1"/>
  <c r="M11" i="1"/>
  <c r="P7" i="1"/>
  <c r="B36" i="1"/>
  <c r="B30" i="1"/>
  <c r="R6" i="1"/>
  <c r="Q6" i="1"/>
  <c r="P6" i="1"/>
  <c r="O6" i="1"/>
  <c r="N6" i="1"/>
  <c r="M6" i="1"/>
  <c r="DA20" i="2"/>
  <c r="EM24" i="2"/>
  <c r="FA32" i="2"/>
  <c r="FA18" i="2"/>
  <c r="EM19" i="2"/>
  <c r="M3" i="1"/>
  <c r="N32" i="1" l="1"/>
  <c r="M32" i="1"/>
  <c r="O2" i="1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R2" i="1"/>
  <c r="F9" i="4"/>
  <c r="H9" i="4"/>
  <c r="G9" i="4"/>
  <c r="F8" i="4"/>
  <c r="G8" i="4"/>
  <c r="H8" i="4"/>
  <c r="R4" i="1"/>
  <c r="Q4" i="1"/>
  <c r="P4" i="1"/>
  <c r="O4" i="1"/>
  <c r="N4" i="1"/>
  <c r="M4" i="1"/>
  <c r="J4" i="1"/>
  <c r="H4" i="1"/>
  <c r="F4" i="1"/>
  <c r="D4" i="1"/>
  <c r="P15" i="1"/>
  <c r="P16" i="1" s="1"/>
  <c r="Q2" i="1"/>
  <c r="M2" i="1"/>
  <c r="N2" i="1"/>
  <c r="P19" i="1"/>
  <c r="D18" i="1"/>
  <c r="O18" i="1"/>
  <c r="N18" i="1"/>
  <c r="M18" i="1"/>
  <c r="N10" i="1"/>
  <c r="N19" i="1" s="1"/>
  <c r="O19" i="1"/>
  <c r="N17" i="1"/>
  <c r="O17" i="1"/>
  <c r="N5" i="1"/>
  <c r="O5" i="1"/>
  <c r="O3" i="1"/>
  <c r="N3" i="1"/>
  <c r="P2" i="1"/>
  <c r="Q15" i="1"/>
  <c r="Q16" i="1" s="1"/>
  <c r="R15" i="1"/>
  <c r="R16" i="1" s="1"/>
  <c r="P44" i="1"/>
  <c r="M17" i="1"/>
  <c r="M10" i="1"/>
  <c r="M5" i="1"/>
  <c r="R5" i="1"/>
  <c r="Q5" i="1"/>
  <c r="P5" i="1"/>
  <c r="R19" i="1"/>
  <c r="R18" i="1"/>
  <c r="R17" i="1"/>
  <c r="Q19" i="1"/>
  <c r="Q18" i="1"/>
  <c r="Q17" i="1"/>
  <c r="P18" i="1"/>
  <c r="P17" i="1"/>
  <c r="Q3" i="1"/>
  <c r="R3" i="1"/>
  <c r="P3" i="1"/>
  <c r="J2" i="1"/>
  <c r="J15" i="1"/>
  <c r="J16" i="1" s="1"/>
  <c r="J19" i="1"/>
  <c r="J18" i="1"/>
  <c r="J17" i="1"/>
  <c r="J6" i="1"/>
  <c r="J5" i="1"/>
  <c r="J3" i="1"/>
  <c r="D10" i="1"/>
  <c r="D19" i="1" s="1"/>
  <c r="D17" i="1"/>
  <c r="D2" i="1"/>
  <c r="H6" i="1"/>
  <c r="D6" i="1"/>
  <c r="F6" i="1"/>
  <c r="H5" i="1"/>
  <c r="D5" i="1"/>
  <c r="D3" i="1"/>
  <c r="F3" i="1"/>
  <c r="F5" i="1"/>
  <c r="H17" i="1"/>
  <c r="F17" i="1"/>
  <c r="H18" i="1"/>
  <c r="F18" i="1"/>
  <c r="B40" i="1"/>
  <c r="B12" i="1"/>
  <c r="H12" i="1" s="1"/>
  <c r="H3" i="1"/>
  <c r="N8" i="1" l="1"/>
  <c r="O8" i="1"/>
  <c r="M19" i="1"/>
  <c r="M8" i="1" s="1"/>
  <c r="Q7" i="1"/>
  <c r="P12" i="1"/>
  <c r="Q12" i="1"/>
  <c r="R8" i="1"/>
  <c r="Q8" i="1"/>
  <c r="R7" i="1"/>
  <c r="P8" i="1"/>
  <c r="D11" i="1"/>
  <c r="R12" i="1"/>
  <c r="J8" i="1"/>
  <c r="J12" i="1"/>
  <c r="J7" i="1"/>
  <c r="D8" i="1"/>
  <c r="F12" i="1"/>
  <c r="H2" i="1"/>
  <c r="F2" i="1"/>
  <c r="F10" i="1" s="1"/>
  <c r="EZ49" i="2"/>
  <c r="EZ40" i="2"/>
  <c r="EZ33" i="2"/>
  <c r="FA33" i="2" s="1"/>
  <c r="EZ26" i="2"/>
  <c r="FA26" i="2" s="1"/>
  <c r="EZ19" i="2"/>
  <c r="FA19" i="2" s="1"/>
  <c r="FA49" i="2"/>
  <c r="EY48" i="2"/>
  <c r="EY47" i="2"/>
  <c r="EY46" i="2"/>
  <c r="EY45" i="2"/>
  <c r="EY44" i="2"/>
  <c r="EY43" i="2"/>
  <c r="FA40" i="2"/>
  <c r="EY39" i="2"/>
  <c r="EY38" i="2"/>
  <c r="EY37" i="2"/>
  <c r="EY36" i="2"/>
  <c r="EY32" i="2"/>
  <c r="EY31" i="2"/>
  <c r="EY30" i="2"/>
  <c r="EY29" i="2"/>
  <c r="EY25" i="2"/>
  <c r="EY24" i="2"/>
  <c r="EY23" i="2"/>
  <c r="EY22" i="2"/>
  <c r="EY18" i="2"/>
  <c r="EY17" i="2"/>
  <c r="EY16" i="2"/>
  <c r="EY15" i="2"/>
  <c r="EU26" i="2"/>
  <c r="EU19" i="2"/>
  <c r="EU49" i="2"/>
  <c r="EV49" i="2" s="1"/>
  <c r="EU40" i="2"/>
  <c r="EV40" i="2" s="1"/>
  <c r="EU33" i="2"/>
  <c r="FE43" i="2"/>
  <c r="FE44" i="2"/>
  <c r="FD48" i="2"/>
  <c r="FD47" i="2"/>
  <c r="FD46" i="2"/>
  <c r="FD45" i="2"/>
  <c r="FD44" i="2"/>
  <c r="FD43" i="2"/>
  <c r="FF49" i="2"/>
  <c r="FE48" i="2"/>
  <c r="FE47" i="2"/>
  <c r="FE46" i="2"/>
  <c r="FE45" i="2"/>
  <c r="FE32" i="2"/>
  <c r="FE31" i="2"/>
  <c r="FE30" i="2"/>
  <c r="FE29" i="2"/>
  <c r="FE36" i="2"/>
  <c r="FE37" i="2"/>
  <c r="FE39" i="2"/>
  <c r="FE38" i="2"/>
  <c r="FF40" i="2"/>
  <c r="FD39" i="2"/>
  <c r="FD38" i="2"/>
  <c r="FD37" i="2"/>
  <c r="FD36" i="2"/>
  <c r="FF33" i="2"/>
  <c r="FD32" i="2"/>
  <c r="FD31" i="2"/>
  <c r="FD30" i="2"/>
  <c r="FD29" i="2"/>
  <c r="FF26" i="2"/>
  <c r="FE25" i="2"/>
  <c r="FD25" i="2"/>
  <c r="FE24" i="2"/>
  <c r="FD24" i="2"/>
  <c r="FE23" i="2"/>
  <c r="FD23" i="2"/>
  <c r="FE22" i="2"/>
  <c r="FD22" i="2"/>
  <c r="FE15" i="2"/>
  <c r="FE16" i="2"/>
  <c r="FE18" i="2"/>
  <c r="FE17" i="2"/>
  <c r="FF19" i="2"/>
  <c r="ET48" i="2"/>
  <c r="ET47" i="2"/>
  <c r="ET46" i="2"/>
  <c r="ET45" i="2"/>
  <c r="ET44" i="2"/>
  <c r="ET43" i="2"/>
  <c r="ET39" i="2"/>
  <c r="ET38" i="2"/>
  <c r="ET37" i="2"/>
  <c r="ET36" i="2"/>
  <c r="EV33" i="2"/>
  <c r="ET32" i="2"/>
  <c r="ET31" i="2"/>
  <c r="ET30" i="2"/>
  <c r="ET29" i="2"/>
  <c r="EV26" i="2"/>
  <c r="ET25" i="2"/>
  <c r="ET24" i="2"/>
  <c r="ET23" i="2"/>
  <c r="ET22" i="2"/>
  <c r="EV19" i="2"/>
  <c r="ET18" i="2"/>
  <c r="ET17" i="2"/>
  <c r="ET16" i="2"/>
  <c r="ET15" i="2"/>
  <c r="EO45" i="2"/>
  <c r="EO46" i="2"/>
  <c r="EP49" i="2"/>
  <c r="EQ49" i="2" s="1"/>
  <c r="EO48" i="2"/>
  <c r="EO47" i="2"/>
  <c r="EO44" i="2"/>
  <c r="EO43" i="2"/>
  <c r="EP40" i="2"/>
  <c r="EQ40" i="2" s="1"/>
  <c r="EP33" i="2"/>
  <c r="EQ33" i="2" s="1"/>
  <c r="EO39" i="2"/>
  <c r="EO38" i="2"/>
  <c r="EO37" i="2"/>
  <c r="EO36" i="2"/>
  <c r="EO32" i="2"/>
  <c r="EO31" i="2"/>
  <c r="EO30" i="2"/>
  <c r="EO29" i="2"/>
  <c r="EP26" i="2"/>
  <c r="EQ26" i="2" s="1"/>
  <c r="EO25" i="2"/>
  <c r="EO24" i="2"/>
  <c r="EO23" i="2"/>
  <c r="EO22" i="2"/>
  <c r="EP19" i="2"/>
  <c r="EQ19" i="2" s="1"/>
  <c r="FD18" i="2"/>
  <c r="FD17" i="2"/>
  <c r="FD16" i="2"/>
  <c r="FD15" i="2"/>
  <c r="EG32" i="2"/>
  <c r="EH32" i="2" s="1"/>
  <c r="EG25" i="2"/>
  <c r="EH25" i="2" s="1"/>
  <c r="EG20" i="2"/>
  <c r="EH20" i="2" s="1"/>
  <c r="EL32" i="2"/>
  <c r="EM32" i="2" s="1"/>
  <c r="EL25" i="2"/>
  <c r="EM25" i="2" s="1"/>
  <c r="EL20" i="2"/>
  <c r="EM20" i="2" s="1"/>
  <c r="EK31" i="2"/>
  <c r="EK30" i="2"/>
  <c r="EK29" i="2"/>
  <c r="EK28" i="2"/>
  <c r="EK27" i="2"/>
  <c r="EK24" i="2"/>
  <c r="EK23" i="2"/>
  <c r="EK22" i="2"/>
  <c r="EK19" i="2"/>
  <c r="EK18" i="2"/>
  <c r="EK17" i="2"/>
  <c r="EK16" i="2"/>
  <c r="EK15" i="2"/>
  <c r="EB32" i="2"/>
  <c r="EC32" i="2" s="1"/>
  <c r="EB25" i="2"/>
  <c r="EC25" i="2" s="1"/>
  <c r="EB20" i="2"/>
  <c r="EC20" i="2" s="1"/>
  <c r="EA31" i="2"/>
  <c r="EA30" i="2"/>
  <c r="EA29" i="2"/>
  <c r="EA28" i="2"/>
  <c r="EA27" i="2"/>
  <c r="EA24" i="2"/>
  <c r="EA23" i="2"/>
  <c r="EA22" i="2"/>
  <c r="EA19" i="2"/>
  <c r="EA18" i="2"/>
  <c r="EA17" i="2"/>
  <c r="EA16" i="2"/>
  <c r="EA15" i="2"/>
  <c r="EF31" i="2"/>
  <c r="EF30" i="2"/>
  <c r="EF29" i="2"/>
  <c r="EF28" i="2"/>
  <c r="EF27" i="2"/>
  <c r="EF24" i="2"/>
  <c r="EF23" i="2"/>
  <c r="EF22" i="2"/>
  <c r="EF19" i="2"/>
  <c r="EF18" i="2"/>
  <c r="EF17" i="2"/>
  <c r="EF16" i="2"/>
  <c r="EF15" i="2"/>
  <c r="DW32" i="2"/>
  <c r="DX32" i="2" s="1"/>
  <c r="DW25" i="2"/>
  <c r="DX25" i="2" s="1"/>
  <c r="DW20" i="2"/>
  <c r="DX20" i="2" s="1"/>
  <c r="DV31" i="2"/>
  <c r="DV30" i="2"/>
  <c r="DV29" i="2"/>
  <c r="DV28" i="2"/>
  <c r="DV27" i="2"/>
  <c r="DV24" i="2"/>
  <c r="DV23" i="2"/>
  <c r="DV22" i="2"/>
  <c r="DV19" i="2"/>
  <c r="DV18" i="2"/>
  <c r="DV17" i="2"/>
  <c r="DV16" i="2"/>
  <c r="DV15" i="2"/>
  <c r="DS32" i="2"/>
  <c r="DQ31" i="2"/>
  <c r="DQ30" i="2"/>
  <c r="DQ29" i="2"/>
  <c r="DQ28" i="2"/>
  <c r="DQ27" i="2"/>
  <c r="DS25" i="2"/>
  <c r="DQ24" i="2"/>
  <c r="DQ23" i="2"/>
  <c r="DQ22" i="2"/>
  <c r="DS20" i="2"/>
  <c r="DQ19" i="2"/>
  <c r="DQ18" i="2"/>
  <c r="DQ17" i="2"/>
  <c r="DQ16" i="2"/>
  <c r="DQ15" i="2"/>
  <c r="DM26" i="2"/>
  <c r="DM27" i="2"/>
  <c r="DM29" i="2"/>
  <c r="DM28" i="2"/>
  <c r="DM25" i="2"/>
  <c r="DM22" i="2"/>
  <c r="DM21" i="2"/>
  <c r="DM20" i="2"/>
  <c r="DM17" i="2"/>
  <c r="DM16" i="2"/>
  <c r="DM15" i="2"/>
  <c r="DJ35" i="2"/>
  <c r="DH34" i="2"/>
  <c r="DH33" i="2"/>
  <c r="DH32" i="2"/>
  <c r="DH31" i="2"/>
  <c r="DH30" i="2"/>
  <c r="DH29" i="2"/>
  <c r="DH23" i="2"/>
  <c r="DH24" i="2"/>
  <c r="DJ27" i="2"/>
  <c r="DJ20" i="2"/>
  <c r="DH26" i="2"/>
  <c r="DH25" i="2"/>
  <c r="DH22" i="2"/>
  <c r="DH19" i="2"/>
  <c r="DH18" i="2"/>
  <c r="DH17" i="2"/>
  <c r="DH16" i="2"/>
  <c r="DH15" i="2"/>
  <c r="DD31" i="2"/>
  <c r="DD30" i="2"/>
  <c r="DD29" i="2"/>
  <c r="DD28" i="2"/>
  <c r="DD27" i="2"/>
  <c r="DD24" i="2"/>
  <c r="DD23" i="2"/>
  <c r="DD22" i="2"/>
  <c r="DD19" i="2"/>
  <c r="DD18" i="2"/>
  <c r="DD17" i="2"/>
  <c r="DD16" i="2"/>
  <c r="DD15" i="2"/>
  <c r="CZ20" i="2"/>
  <c r="CY19" i="2"/>
  <c r="CY18" i="2"/>
  <c r="CY17" i="2"/>
  <c r="CY16" i="2"/>
  <c r="CY15" i="2"/>
  <c r="CU22" i="2"/>
  <c r="CU20" i="2" s="1"/>
  <c r="CV20" i="2" s="1"/>
  <c r="CG15" i="2"/>
  <c r="CH15" i="2"/>
  <c r="CK15" i="2"/>
  <c r="CG16" i="2"/>
  <c r="CH16" i="2"/>
  <c r="CK16" i="2"/>
  <c r="CG17" i="2"/>
  <c r="CH17" i="2"/>
  <c r="CK17" i="2"/>
  <c r="CG20" i="2"/>
  <c r="CH20" i="2"/>
  <c r="CK20" i="2"/>
  <c r="CG21" i="2"/>
  <c r="CH21" i="2"/>
  <c r="CK21" i="2"/>
  <c r="CG22" i="2"/>
  <c r="CH22" i="2"/>
  <c r="CK22" i="2"/>
  <c r="CG26" i="2"/>
  <c r="CH26" i="2"/>
  <c r="CK26" i="2"/>
  <c r="CG27" i="2"/>
  <c r="CH27" i="2"/>
  <c r="CK27" i="2"/>
  <c r="CG28" i="2"/>
  <c r="CH28" i="2"/>
  <c r="CK28" i="2"/>
  <c r="CG29" i="2"/>
  <c r="CH29" i="2"/>
  <c r="CK29" i="2"/>
  <c r="BW41" i="2"/>
  <c r="BX41" i="2" s="1"/>
  <c r="BW39" i="2"/>
  <c r="BX39" i="2" s="1"/>
  <c r="BR27" i="2"/>
  <c r="BR26" i="2"/>
  <c r="BR29" i="2"/>
  <c r="BR28" i="2"/>
  <c r="BR22" i="2"/>
  <c r="BR20" i="2"/>
  <c r="BR17" i="2"/>
  <c r="BR15" i="2"/>
  <c r="BR21" i="2"/>
  <c r="BR16" i="2"/>
  <c r="BM36" i="2"/>
  <c r="BM35" i="2"/>
  <c r="BM34" i="2"/>
  <c r="BM33" i="2"/>
  <c r="BM27" i="2"/>
  <c r="BM26" i="2"/>
  <c r="BM29" i="2"/>
  <c r="BM28" i="2"/>
  <c r="BM21" i="2"/>
  <c r="BM22" i="2"/>
  <c r="BM20" i="2"/>
  <c r="BM15" i="2"/>
  <c r="BM17" i="2"/>
  <c r="BM16" i="2"/>
  <c r="BM30" i="2"/>
  <c r="BN30" i="2" s="1"/>
  <c r="BM18" i="2"/>
  <c r="BN18" i="2" s="1"/>
  <c r="BM37" i="2"/>
  <c r="BN37" i="2" s="1"/>
  <c r="BM23" i="2"/>
  <c r="BN23" i="2" s="1"/>
  <c r="BX42" i="2"/>
  <c r="BX40" i="2"/>
  <c r="BU38" i="2"/>
  <c r="BU37" i="2"/>
  <c r="BU36" i="2"/>
  <c r="BU35" i="2"/>
  <c r="BU34" i="2"/>
  <c r="BU33" i="2"/>
  <c r="BU32" i="2"/>
  <c r="BU31" i="2"/>
  <c r="BU30" i="2"/>
  <c r="BS30" i="2"/>
  <c r="BU29" i="2"/>
  <c r="BU28" i="2"/>
  <c r="BU27" i="2"/>
  <c r="BU26" i="2"/>
  <c r="BU25" i="2"/>
  <c r="BU24" i="2"/>
  <c r="BU23" i="2"/>
  <c r="BS23" i="2"/>
  <c r="BU22" i="2"/>
  <c r="BU21" i="2"/>
  <c r="BU20" i="2"/>
  <c r="BU19" i="2"/>
  <c r="BU18" i="2"/>
  <c r="BS18" i="2"/>
  <c r="BU17" i="2"/>
  <c r="BU16" i="2"/>
  <c r="BU15" i="2"/>
  <c r="BB39" i="2"/>
  <c r="BC39" i="2" s="1"/>
  <c r="BB41" i="2"/>
  <c r="BC41" i="2" s="1"/>
  <c r="AR29" i="2"/>
  <c r="AR28" i="2"/>
  <c r="AR27" i="2"/>
  <c r="AR26" i="2"/>
  <c r="AR34" i="2"/>
  <c r="AR33" i="2"/>
  <c r="AR36" i="2"/>
  <c r="AR35" i="2"/>
  <c r="AR37" i="2"/>
  <c r="AS37" i="2" s="1"/>
  <c r="AR30" i="2"/>
  <c r="AS30" i="2" s="1"/>
  <c r="AR18" i="2"/>
  <c r="AS18" i="2" s="1"/>
  <c r="AR22" i="2"/>
  <c r="AR20" i="2"/>
  <c r="AR17" i="2"/>
  <c r="AR15" i="2"/>
  <c r="AR21" i="2"/>
  <c r="AR16" i="2"/>
  <c r="AX37" i="2"/>
  <c r="AW36" i="2"/>
  <c r="AW35" i="2"/>
  <c r="AW34" i="2"/>
  <c r="AW33" i="2"/>
  <c r="AW30" i="2"/>
  <c r="AX30" i="2" s="1"/>
  <c r="AW29" i="2"/>
  <c r="AW28" i="2"/>
  <c r="AW27" i="2"/>
  <c r="AW26" i="2"/>
  <c r="AX23" i="2"/>
  <c r="AW22" i="2"/>
  <c r="AW21" i="2"/>
  <c r="AW20" i="2"/>
  <c r="AW18" i="2"/>
  <c r="AX18" i="2" s="1"/>
  <c r="AW17" i="2"/>
  <c r="AW16" i="2"/>
  <c r="AW15" i="2"/>
  <c r="BC42" i="2"/>
  <c r="BC40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S23" i="2"/>
  <c r="AZ22" i="2"/>
  <c r="AZ21" i="2"/>
  <c r="AZ20" i="2"/>
  <c r="AZ19" i="2"/>
  <c r="AZ18" i="2"/>
  <c r="AZ17" i="2"/>
  <c r="AZ16" i="2"/>
  <c r="AZ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15" i="2"/>
  <c r="L39" i="2"/>
  <c r="M39" i="2" s="1"/>
  <c r="L40" i="2"/>
  <c r="M40" i="2" s="1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15" i="2"/>
  <c r="AG41" i="2"/>
  <c r="AH41" i="2" s="1"/>
  <c r="AG42" i="2"/>
  <c r="AH42" i="2" s="1"/>
  <c r="AG39" i="2"/>
  <c r="AH39" i="2" s="1"/>
  <c r="AG40" i="2"/>
  <c r="AH40" i="2" s="1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B36" i="2"/>
  <c r="AB35" i="2"/>
  <c r="AB34" i="2"/>
  <c r="AB33" i="2"/>
  <c r="AB27" i="2"/>
  <c r="AB26" i="2"/>
  <c r="AB29" i="2"/>
  <c r="AB28" i="2"/>
  <c r="AB30" i="2"/>
  <c r="AC30" i="2" s="1"/>
  <c r="AB37" i="2"/>
  <c r="AC37" i="2" s="1"/>
  <c r="AB23" i="2"/>
  <c r="AC23" i="2" s="1"/>
  <c r="AB18" i="2"/>
  <c r="AC18" i="2" s="1"/>
  <c r="AB21" i="2"/>
  <c r="AB22" i="2"/>
  <c r="AB20" i="2"/>
  <c r="AB17" i="2"/>
  <c r="AB15" i="2"/>
  <c r="AB16" i="2"/>
  <c r="W37" i="2"/>
  <c r="X37" i="2" s="1"/>
  <c r="W30" i="2"/>
  <c r="X30" i="2" s="1"/>
  <c r="W36" i="2"/>
  <c r="W35" i="2"/>
  <c r="W34" i="2"/>
  <c r="W33" i="2"/>
  <c r="W23" i="2"/>
  <c r="X23" i="2" s="1"/>
  <c r="W18" i="2"/>
  <c r="X18" i="2" s="1"/>
  <c r="W27" i="2"/>
  <c r="W26" i="2"/>
  <c r="W29" i="2"/>
  <c r="W28" i="2"/>
  <c r="W21" i="2"/>
  <c r="W22" i="2"/>
  <c r="W20" i="2"/>
  <c r="W15" i="2"/>
  <c r="W17" i="2"/>
  <c r="W16" i="2"/>
  <c r="L16" i="2"/>
  <c r="L17" i="2"/>
  <c r="L18" i="2"/>
  <c r="L19" i="2"/>
  <c r="L20" i="2"/>
  <c r="L21" i="2"/>
  <c r="L22" i="2"/>
  <c r="L15" i="2"/>
  <c r="L36" i="2"/>
  <c r="L37" i="2"/>
  <c r="L38" i="2"/>
  <c r="L35" i="2"/>
  <c r="L32" i="2"/>
  <c r="L33" i="2"/>
  <c r="L34" i="2"/>
  <c r="L31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15" i="2"/>
  <c r="K36" i="2"/>
  <c r="K37" i="2"/>
  <c r="K38" i="2"/>
  <c r="K35" i="2"/>
  <c r="K32" i="2"/>
  <c r="K33" i="2"/>
  <c r="K34" i="2"/>
  <c r="K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15" i="2"/>
  <c r="G37" i="2"/>
  <c r="H37" i="2" s="1"/>
  <c r="G36" i="2"/>
  <c r="G35" i="2"/>
  <c r="G34" i="2"/>
  <c r="G33" i="2"/>
  <c r="G30" i="2"/>
  <c r="H30" i="2" s="1"/>
  <c r="G27" i="2"/>
  <c r="G26" i="2"/>
  <c r="G29" i="2"/>
  <c r="G28" i="2"/>
  <c r="H23" i="2"/>
  <c r="G21" i="2"/>
  <c r="G22" i="2"/>
  <c r="G20" i="2"/>
  <c r="G15" i="2"/>
  <c r="G17" i="2"/>
  <c r="G16" i="2"/>
  <c r="G18" i="2"/>
  <c r="H18" i="2" s="1"/>
  <c r="C27" i="2"/>
  <c r="C26" i="2"/>
  <c r="C29" i="2"/>
  <c r="C28" i="2"/>
  <c r="C21" i="2"/>
  <c r="C22" i="2"/>
  <c r="C20" i="2"/>
  <c r="C15" i="2"/>
  <c r="C17" i="2"/>
  <c r="C16" i="2"/>
  <c r="CP27" i="2"/>
  <c r="CP26" i="2"/>
  <c r="CP29" i="2"/>
  <c r="CP28" i="2"/>
  <c r="CP22" i="2"/>
  <c r="CP20" i="2"/>
  <c r="CP15" i="2"/>
  <c r="CP17" i="2"/>
  <c r="CP21" i="2"/>
  <c r="CP16" i="2"/>
  <c r="CO29" i="2"/>
  <c r="CO28" i="2"/>
  <c r="CO27" i="2"/>
  <c r="CO26" i="2"/>
  <c r="CO22" i="2"/>
  <c r="CO21" i="2"/>
  <c r="CO20" i="2"/>
  <c r="CO17" i="2"/>
  <c r="CO16" i="2"/>
  <c r="CO15" i="2"/>
  <c r="CL27" i="2"/>
  <c r="CL26" i="2"/>
  <c r="CL29" i="2"/>
  <c r="CL28" i="2"/>
  <c r="CL22" i="2"/>
  <c r="CL20" i="2"/>
  <c r="CL15" i="2"/>
  <c r="CL17" i="2"/>
  <c r="CL16" i="2"/>
  <c r="CL21" i="2"/>
  <c r="AA23" i="3"/>
  <c r="AA22" i="3"/>
  <c r="AA21" i="3"/>
  <c r="AK20" i="3"/>
  <c r="AG20" i="3"/>
  <c r="AA20" i="3"/>
  <c r="AI19" i="3"/>
  <c r="AE19" i="3"/>
  <c r="AN18" i="3"/>
  <c r="AI18" i="3"/>
  <c r="AE18" i="3"/>
  <c r="AN17" i="3"/>
  <c r="AI17" i="3"/>
  <c r="AE17" i="3"/>
  <c r="AA17" i="3"/>
  <c r="AN16" i="3"/>
  <c r="AI16" i="3"/>
  <c r="AE16" i="3"/>
  <c r="AA16" i="3"/>
  <c r="AN15" i="3"/>
  <c r="AI15" i="3"/>
  <c r="AE15" i="3"/>
  <c r="AA15" i="3"/>
  <c r="EO18" i="2"/>
  <c r="EO17" i="2"/>
  <c r="EO16" i="2"/>
  <c r="EO15" i="2"/>
  <c r="CT17" i="2"/>
  <c r="CT18" i="2"/>
  <c r="CT19" i="2"/>
  <c r="CT15" i="2"/>
  <c r="CT16" i="2"/>
  <c r="F15" i="1" l="1"/>
  <c r="F16" i="1" s="1"/>
  <c r="F7" i="1" s="1"/>
  <c r="F11" i="1"/>
  <c r="F19" i="1"/>
  <c r="F8" i="1" s="1"/>
  <c r="H10" i="1"/>
  <c r="H19" i="1" l="1"/>
  <c r="H8" i="1" s="1"/>
  <c r="H15" i="1"/>
  <c r="H11" i="1"/>
  <c r="H16" i="1" l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tc={4E22C16E-EFC9-704C-B70A-836D48A98DD8}</author>
    <author>tc={1CCD8B11-5F3D-3846-94A6-D382D0889867}</author>
    <author>tc={03BFBE06-21D5-2C4D-99D9-4C8C45137ED7}</author>
    <author>tc={D8285F8F-1C22-D046-A6C6-633731A14F53}</author>
    <author>tc={9353AD07-469D-0341-B7C1-2D4FFD30EE4C}</author>
    <author>tc={23F4B564-12A4-E44D-BF14-10406283DC88}</author>
    <author>tc={7A16BA51-A494-D449-A257-68FE718473FB}</author>
    <author>tc={D8D682BE-73C9-9D43-AF05-073BBC89BC55}</author>
    <author>tc={705653D8-CD09-2E45-885E-671E64ED0570}</author>
    <author>tc={D6B21071-F777-0F47-8934-9DF91760E3BF}</author>
    <author>tc={16945A97-81D2-9C48-9C60-D71204EE71A5}</author>
    <author>tc={21C3E175-05F8-BC4B-9BB7-C43A148A63DF}</author>
    <author>tc={B694072B-4BAA-F14F-96F8-FCA78577E33D}</author>
  </authors>
  <commentList>
    <comment ref="D2" authorId="0" shapeId="0" xr:uid="{4E22C16E-EFC9-704C-B70A-836D48A98DD8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M2" authorId="1" shapeId="0" xr:uid="{1CCD8B11-5F3D-3846-94A6-D382D0889867}">
      <text>
        <t>[Threaded comment]
Your version of Excel allows you to read this threaded comment; however, any edits to it will get removed if the file is opened in a newer version of Excel. Learn more: https://go.microsoft.com/fwlink/?linkid=870924
Comment:
    l/km diesel</t>
      </text>
    </comment>
    <comment ref="E6" authorId="2" shapeId="0" xr:uid="{03BFBE06-21D5-2C4D-99D9-4C8C45137ED7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G6" authorId="3" shapeId="0" xr:uid="{D8285F8F-1C22-D046-A6C6-633731A14F53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I6" authorId="4" shapeId="0" xr:uid="{9353AD07-469D-0341-B7C1-2D4FFD30EE4C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K6" authorId="5" shapeId="0" xr:uid="{23F4B564-12A4-E44D-BF14-10406283DC88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N6" authorId="6" shapeId="0" xr:uid="{7A16BA51-A494-D449-A257-68FE718473FB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  <comment ref="D9" authorId="7" shapeId="0" xr:uid="{D8D682BE-73C9-9D43-AF05-073BBC89BC55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M9" authorId="8" shapeId="0" xr:uid="{705653D8-CD09-2E45-885E-671E64ED0570}">
      <text>
        <t>[Threaded comment]
Your version of Excel allows you to read this threaded comment; however, any edits to it will get removed if the file is opened in a newer version of Excel. Learn more: https://go.microsoft.com/fwlink/?linkid=870924
Comment:
    liters</t>
      </text>
    </comment>
    <comment ref="D11" authorId="9" shapeId="0" xr:uid="{D6B21071-F777-0F47-8934-9DF91760E3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M11" authorId="10" shapeId="0" xr:uid="{16945A97-81D2-9C48-9C60-D71204EE71A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refuel time cost for diesel trucks</t>
      </text>
    </comment>
    <comment ref="B12" authorId="11" shapeId="0" xr:uid="{21C3E175-05F8-BC4B-9BB7-C43A148A63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battery-to-wheels efficiency</t>
      </text>
    </comment>
    <comment ref="E14" authorId="12" shapeId="0" xr:uid="{B694072B-4BAA-F14F-96F8-FCA78577E33D}">
      <text>
        <t>[Threaded comment]
Your version of Excel allows you to read this threaded comment; however, any edits to it will get removed if the file is opened in a newer version of Excel. Learn more: https://go.microsoft.com/fwlink/?linkid=870924
Comment:
    1Hunter, C.,  Penev, M., Reznicek, E., Lustbader, J., Birky, A. &amp; Zhang, C. 2021. Spatial and Temporal Analysis of the Total Cost of Ownership for Class 8 Tractors and Class 4 Parcel Delivery Trucks. National Renewable Energy Laboratory, NREL/TP-5400-71796.</t>
      </text>
    </comment>
  </commentList>
</comments>
</file>

<file path=xl/sharedStrings.xml><?xml version="1.0" encoding="utf-8"?>
<sst xmlns="http://schemas.openxmlformats.org/spreadsheetml/2006/main" count="1157" uniqueCount="348">
  <si>
    <t>vehicle_type_id</t>
  </si>
  <si>
    <t>r</t>
  </si>
  <si>
    <t>v</t>
  </si>
  <si>
    <t>cc</t>
  </si>
  <si>
    <t>co</t>
  </si>
  <si>
    <t>cm</t>
  </si>
  <si>
    <t>cy</t>
  </si>
  <si>
    <t>QMAX</t>
  </si>
  <si>
    <t>EMIN</t>
  </si>
  <si>
    <t>EMAX</t>
  </si>
  <si>
    <t>PMAX</t>
  </si>
  <si>
    <t>EV Class 8: Tesla Semi 500 miles</t>
  </si>
  <si>
    <t>[kWh/km] Electric consumption per unit distance</t>
  </si>
  <si>
    <t>[$/km] Amortized vehicle maintenance cost</t>
  </si>
  <si>
    <t>[$/kWh] Nominal cycle cost to minimize V2G actions</t>
  </si>
  <si>
    <t>[kg] Maximum payload limit for all vehicles</t>
  </si>
  <si>
    <t>[kWh] Minimum EV battery SOE limit</t>
  </si>
  <si>
    <t>[kWh] Maximum EV battery SOE limit</t>
  </si>
  <si>
    <t>[kW] EV inverter size limiting charge and discharge</t>
  </si>
  <si>
    <t>Source</t>
  </si>
  <si>
    <t>https://www.tesla.com/semi</t>
  </si>
  <si>
    <t>km/mile</t>
  </si>
  <si>
    <t>https://www.trucks.com/2019/09/05/everything-we-know-about-the-tesla-semi-truck/</t>
  </si>
  <si>
    <t>kg/lb</t>
  </si>
  <si>
    <t>https://seekingalpha.com/instablog/227454-john-petersen/2323012-data-on-class-8-tractor-trailer-combination-weights</t>
  </si>
  <si>
    <t>https://www.paragonrouting.com/en-us/blog/post/want-optimize-your-fleet-know-your-average-trucking-cost-mile/</t>
  </si>
  <si>
    <t>https://electrek.co/2020/06/06/tesla-battery-degradation-replacement/</t>
  </si>
  <si>
    <t>[$/vehicle/horizon] Amortized capital cost for purchasing a vehicle</t>
  </si>
  <si>
    <t>Timestep Size (hrs)</t>
  </si>
  <si>
    <t>Time Horizon (T)</t>
  </si>
  <si>
    <t>Utility</t>
  </si>
  <si>
    <t>Southern California Edison</t>
  </si>
  <si>
    <t>Tariff Library</t>
  </si>
  <si>
    <t>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</t>
  </si>
  <si>
    <t>Fixed Energy Price</t>
  </si>
  <si>
    <t>Time-of-Use (TOU) Energy Price</t>
  </si>
  <si>
    <t>Schedule</t>
  </si>
  <si>
    <t>GS-1: General Service, Non-Demand</t>
  </si>
  <si>
    <t>TOU-GS-1 Option E: Time-of-Use General Service</t>
  </si>
  <si>
    <t>TOU-GS-1 Option D: Time-of-Use General Service</t>
  </si>
  <si>
    <t>TOU-GS-1-RTP Option D: General Service, Small, Real-Time Pricing</t>
  </si>
  <si>
    <t>TOU-EV-7 Option E: Time-of-Use General Service Electric Vehicle Charging</t>
  </si>
  <si>
    <t>TOU-EV-7 Option D: Time-of-Use General Service Electric Vehicle Charging</t>
  </si>
  <si>
    <t>Effective</t>
  </si>
  <si>
    <t>Service Voltage</t>
  </si>
  <si>
    <t>&lt;2kV</t>
  </si>
  <si>
    <t>Size</t>
  </si>
  <si>
    <t>&lt;20kW</t>
  </si>
  <si>
    <t>Time</t>
  </si>
  <si>
    <t>Timestep</t>
  </si>
  <si>
    <t>Summer Rate ($/kWh)</t>
  </si>
  <si>
    <t>Weekday Summer Rate ($/kWh)</t>
  </si>
  <si>
    <t>Hot Summer (&gt;=91) Weekday Rate ($/kWh)</t>
  </si>
  <si>
    <t>Winter Rate ($/kWh)</t>
  </si>
  <si>
    <t>Demand Charge ($/kW)</t>
  </si>
  <si>
    <t>Facilities+On-Peak</t>
  </si>
  <si>
    <t>Weekday Winter Rate ($/kWh)</t>
  </si>
  <si>
    <t>Facilities+Mid-Peak</t>
  </si>
  <si>
    <t>20kW-500kW</t>
  </si>
  <si>
    <t>TOU-EV-8: GENERAL SERVICE TIME-OF-USE
 ELECTRIC VEHICLE CHARGING - DEMAND METERED</t>
  </si>
  <si>
    <t>https://www.pge.com/tariffs/index.page</t>
  </si>
  <si>
    <t>Pacific Gas &amp; Electric</t>
  </si>
  <si>
    <t>BEV-1: Business Electric Vehicles</t>
  </si>
  <si>
    <t>&lt;100kW</t>
  </si>
  <si>
    <t>Rate ($/kWh)</t>
  </si>
  <si>
    <t>Subscription Charge</t>
  </si>
  <si>
    <t>&gt;100kW</t>
  </si>
  <si>
    <t>BEV-2: Business Electric Vehicles</t>
  </si>
  <si>
    <t>San Diego Gas &amp; Electric</t>
  </si>
  <si>
    <t>https://www.sdge.com/rates-and-regulations/current-and-effective-tariffs</t>
  </si>
  <si>
    <t>&lt;500kW</t>
  </si>
  <si>
    <t>TOU-M: Bundled EV Interim</t>
  </si>
  <si>
    <t>https://edisonintl.sharepoint.com/teams/Public/TM2/Shared%20Documents/Forms/AllItems.aspx?id=%2Fteams%2FPublic%2FTM2%2FShared%20Documents%2FPublic%2FRegulatory%2FTariff%2DSCE%20Tariff%20Books%2FElectric%2FSchedules%2FGeneral%20Service%20%26%20Industrial%20Rates&amp;p=true&amp;ga=1</t>
  </si>
  <si>
    <t>Closed to new customers:</t>
  </si>
  <si>
    <t>EV-3, EV-4, EV-6</t>
  </si>
  <si>
    <t xml:space="preserve">The summer season shall commence at 12:00 a.m. on June 1 and continue until 12:00 a.m. on October 1 of each year. </t>
  </si>
  <si>
    <t xml:space="preserve">The winter season shall commence at 12:00 a.m. on October 1 and continue until 12:00 a.m. on June 1. </t>
  </si>
  <si>
    <t>Weekend Summer Rate ($/kWh)</t>
  </si>
  <si>
    <t>Weekend Winter Rate ($/kWh)</t>
  </si>
  <si>
    <t xml:space="preserve">TOU-EV-9: GENERAL SERVICE TIME-OF-USE, ELECTRIC VEHICLE CHARGING, LARGE DEMAND METERED </t>
  </si>
  <si>
    <t>&gt;500kW</t>
  </si>
  <si>
    <t>EV Rates</t>
  </si>
  <si>
    <t xml:space="preserve">EV Rates: For  the  first  five  years,  commencing  March  1,  2019,  no  Demand  Charge  shall  apply  to  Customers  receiving  service  under  this  Schedule.    After  the  five-year  introductory  period,  and  commencing  on  March 1, 2024, Demand Charge shall be phased-in unless otherwise authorized by the Commission. </t>
  </si>
  <si>
    <t>Time Horizons per Months</t>
  </si>
  <si>
    <t>Weekdays Winter Rate ($/kWh)</t>
  </si>
  <si>
    <t>TOU-GS-1-RTP: General Service, Small, Real-Time Pricing</t>
  </si>
  <si>
    <t>Summer T&amp;D+</t>
  </si>
  <si>
    <t>Winter T&amp;D+</t>
  </si>
  <si>
    <t>Add T&amp;D to URG rate based on temperature</t>
  </si>
  <si>
    <t>Mild Summer Weekday (&lt;=80)</t>
  </si>
  <si>
    <t>High Cost Winter Weekday (&gt;90)</t>
  </si>
  <si>
    <t>Low Cost Winter Weekday (&lt;=90)</t>
  </si>
  <si>
    <t>High Cost Weekend (&gt;=78)</t>
  </si>
  <si>
    <t>Low Cost Weekend (&lt;78)</t>
  </si>
  <si>
    <t>Facilities</t>
  </si>
  <si>
    <t>TOU-GS-2 Option E: Time-of-Use General Service Demand Metered</t>
  </si>
  <si>
    <t>TOU-GS-2 Option D: Time-of-Use General Service Demand Metered</t>
  </si>
  <si>
    <t>TOU-GS-2-RTP: General Service, Medium, Real-Time Pricing</t>
  </si>
  <si>
    <t>Summer Weekday</t>
  </si>
  <si>
    <t>Summer Weekend</t>
  </si>
  <si>
    <t>Winter Weekday</t>
  </si>
  <si>
    <t>Winter Weekend</t>
  </si>
  <si>
    <t>20-200kW</t>
  </si>
  <si>
    <t>Summer Weekend/Winter</t>
  </si>
  <si>
    <t>200-500kW</t>
  </si>
  <si>
    <t>TOU-GS-3 Option E: Time-of-Use General Service Demand Metered</t>
  </si>
  <si>
    <t>TOU-GS-3 Option D: Time-of-Use General Service Demand Metered</t>
  </si>
  <si>
    <t>TOU-GS-3-RTP: General Service, Medium, Real-Time Pricing</t>
  </si>
  <si>
    <t>*EV-7 D/E same until 5-years from 2019 when demand charges may be added</t>
  </si>
  <si>
    <t>TOU-8 Option E: Time-of-Use General Service  Large</t>
  </si>
  <si>
    <t>TOU-8 Option D: Time-of-Use General Service  Large</t>
  </si>
  <si>
    <t>TOU-8-RTP: General Service, Large, Real-Time Pricing</t>
  </si>
  <si>
    <t>Moderate Summer Weekday (81-90) ($/kWh)</t>
  </si>
  <si>
    <t>Block Size (kW)</t>
  </si>
  <si>
    <t>Subscription Charge (per block)</t>
  </si>
  <si>
    <t>Subscription Charge ($/kW)</t>
  </si>
  <si>
    <t>Overage Fee ($/kW)</t>
  </si>
  <si>
    <t>Estimated Subscription Charge ($/kW</t>
  </si>
  <si>
    <t>A-1, A-6, A-10, E-19 and E-20</t>
  </si>
  <si>
    <t>B-1: Small General Service</t>
  </si>
  <si>
    <t>&gt;75kW</t>
  </si>
  <si>
    <t>Oct-Feb Winter Rate ($/kWh)</t>
  </si>
  <si>
    <t>Mar-May Winter Rate ($/kWh)</t>
  </si>
  <si>
    <t>B1-ST: Small General Service, Storage (15,000 customers)</t>
  </si>
  <si>
    <t>Demand Charge</t>
  </si>
  <si>
    <t>On-Peak (2pm-11pm)</t>
  </si>
  <si>
    <t>B-6: Small General Time-of-Use Service</t>
  </si>
  <si>
    <t>B-10: Medium General Demand-Metered Service</t>
  </si>
  <si>
    <t>75-499kW</t>
  </si>
  <si>
    <t>Total</t>
  </si>
  <si>
    <t>Ignores CPP charges</t>
  </si>
  <si>
    <t>Ignores PDP charges</t>
  </si>
  <si>
    <t>B-19: Medium General Demand-Metered TOU Service</t>
  </si>
  <si>
    <t>Max+Peak</t>
  </si>
  <si>
    <t>B-20: Service to Customers with Maximum Demands of 1000 KiloWatts or More</t>
  </si>
  <si>
    <t>500-999kW</t>
  </si>
  <si>
    <t>&gt;1000kW</t>
  </si>
  <si>
    <t>B-19 Option S (Storage): Medium General Demand-Metered TOU Service</t>
  </si>
  <si>
    <t>Max+Peak Per Days</t>
  </si>
  <si>
    <t>B-20 Option S (Storage): Service to Customers with Maximum Demands of 1000 KiloWatts or More</t>
  </si>
  <si>
    <t>≥20kW</t>
  </si>
  <si>
    <t>EV-HP</t>
  </si>
  <si>
    <t>Fleet Charging</t>
  </si>
  <si>
    <t>EECC</t>
  </si>
  <si>
    <t>https://tariff.sdge.com/tm2/ssi/inc_elec_rates_commodity.html</t>
  </si>
  <si>
    <t>Demand Charges</t>
  </si>
  <si>
    <t>Subscription+Max On-Peak</t>
  </si>
  <si>
    <t>Nov-Feb, May Weekday Winter Rate ($/kWh)</t>
  </si>
  <si>
    <t>Nov-Feb, May Weekend Summer Rate ($/kWh)</t>
  </si>
  <si>
    <t>March, April Weekday Winter Rate ($/kWh)</t>
  </si>
  <si>
    <t>AL-TOU</t>
  </si>
  <si>
    <t>&lt;40kW</t>
  </si>
  <si>
    <t>Deman Charge</t>
  </si>
  <si>
    <t>Non-Coincident</t>
  </si>
  <si>
    <t>TOU-M</t>
  </si>
  <si>
    <t>Non-coincident+Max On-Peak</t>
  </si>
  <si>
    <t>AL-TOU2</t>
  </si>
  <si>
    <t>Non-coincident+Max On-Peak+TOU Demand</t>
  </si>
  <si>
    <t>t_H</t>
  </si>
  <si>
    <t>t_S</t>
  </si>
  <si>
    <t>[km/hr] Vehicle average speed for vehicle</t>
  </si>
  <si>
    <t>[$/hr] Vehicle operating cost (wages)</t>
  </si>
  <si>
    <t>EV Class 8: Tesla Semi 300 miles</t>
  </si>
  <si>
    <t>FROM:</t>
  </si>
  <si>
    <t>https://pubs.acs.org/doi/full/10.1021/acsenergylett.7b00432</t>
  </si>
  <si>
    <t>avg. annual distance (class 8) [miles]</t>
  </si>
  <si>
    <t>avg. daily distance (class 8) [miles]</t>
  </si>
  <si>
    <t>avg. daily driving time (class 8) [hours]</t>
  </si>
  <si>
    <t>[300, 600]</t>
  </si>
  <si>
    <t>[8, 16]</t>
  </si>
  <si>
    <t>avg. payload (class 8) [kg]</t>
  </si>
  <si>
    <t>[14500, 20000]</t>
  </si>
  <si>
    <t>gross vehicle weight (GVW) [kg]</t>
  </si>
  <si>
    <t>eff</t>
  </si>
  <si>
    <t>[fraction] One-way battery efficiency</t>
  </si>
  <si>
    <t>specific energy [Wh/kg]</t>
  </si>
  <si>
    <t>empty vehicle weight</t>
  </si>
  <si>
    <t>[7000, 10000] for EV; [6000, 8000] based on diesel vehicles</t>
  </si>
  <si>
    <t>[220, 300]</t>
  </si>
  <si>
    <t>[27000, 36000]; US allows Electric Trucks to be 0.9 tons (2000 lbs) more than diesel GVWR</t>
  </si>
  <si>
    <t>[kg]</t>
  </si>
  <si>
    <t>battery/fuel weight</t>
  </si>
  <si>
    <t>gross vehicle weight (GVW)</t>
  </si>
  <si>
    <t>capital cost</t>
  </si>
  <si>
    <t>[$]</t>
  </si>
  <si>
    <t>https://www.energy.gov/eere/vehicles/fact-671-april-18-2011-average-truck-speeds</t>
  </si>
  <si>
    <t>https://www.bts.gov/browse-statistical-products-and-data/freight-facts-and-figures/average-hourly-wages-select-freight</t>
  </si>
  <si>
    <t>https://www.bts.gov/browse-statistical-products-and-data/freight-facts-and-figures/average-truck-speeds-select</t>
  </si>
  <si>
    <t>https://www.bts.gov/browse-statistical-products-and-data/freight-facts-and-figures/combination-truck-fuel-consumption</t>
  </si>
  <si>
    <t>RESOURCES</t>
  </si>
  <si>
    <t>Truck operating costs (not used)</t>
  </si>
  <si>
    <t>avg, speed [mph]</t>
  </si>
  <si>
    <t>amortization periods</t>
  </si>
  <si>
    <t>annual discount rate</t>
  </si>
  <si>
    <t>vehicle years</t>
  </si>
  <si>
    <t>l/gal</t>
  </si>
  <si>
    <t>https://www.nrel.gov/docs/fy22osti/82081.pdf</t>
  </si>
  <si>
    <t>Li-ion cost [$/kWh]</t>
  </si>
  <si>
    <t>[150,300]</t>
  </si>
  <si>
    <t>battery cost</t>
  </si>
  <si>
    <t>annual degradation %</t>
  </si>
  <si>
    <t>https://www.barrons.com/articles/tesla-stock-ev-batteries-commodities-51654536274#:~:text=That's%20good%20new%20for%20Tesla,kilowatt%2Dhour%2C%20or%20kWh.</t>
  </si>
  <si>
    <t>amortized battery cost</t>
  </si>
  <si>
    <t>[$/vehicle/horizon]</t>
  </si>
  <si>
    <t>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</t>
  </si>
  <si>
    <t>https://www.pensketruckleasing.com/pdfs/Freightliner_Cascadia-113.pdf</t>
  </si>
  <si>
    <t>N/A</t>
  </si>
  <si>
    <t>diesel density [kg/l]</t>
  </si>
  <si>
    <t>https://www.sciencedirect.com/topics/engineering/diesel-fuel</t>
  </si>
  <si>
    <t>CV Class 8: Freightliner Cascadia 116 Day Cab</t>
  </si>
  <si>
    <t>BYD 8TT-ER</t>
  </si>
  <si>
    <t>https://californiahvip.org/vehicles/byd-8tt-tandem-axle-tractor/</t>
  </si>
  <si>
    <t>https://en.byd.com/news/press-release-buses-delivery-vans-and-garbage-trucks-are-the-electric-vehicles-next-door/</t>
  </si>
  <si>
    <t>https://blogs.edf.org/climate411/files/2022/02/EDF-MDHD-Electrification-v1.6_20220209.pdf</t>
  </si>
  <si>
    <t>EDF MDHV Electrification Costs for MY 2027-2030</t>
  </si>
  <si>
    <t>Class 8: Diesel Low</t>
  </si>
  <si>
    <t>Class 8: Diesel Reference</t>
  </si>
  <si>
    <t>Class 8: Diesel High</t>
  </si>
  <si>
    <t>Class 8: EV Low</t>
  </si>
  <si>
    <t>Class 8: EV Reference</t>
  </si>
  <si>
    <t>Class 8: EV High</t>
  </si>
  <si>
    <t>https://gasprices.aaa.com/state-gas-price-averages/</t>
  </si>
  <si>
    <t>Region</t>
  </si>
  <si>
    <t>Southern CA</t>
  </si>
  <si>
    <t>Site</t>
  </si>
  <si>
    <t>tA</t>
  </si>
  <si>
    <t>tB</t>
  </si>
  <si>
    <t>Service Time</t>
  </si>
  <si>
    <t>t_T</t>
  </si>
  <si>
    <t>STATIC PARAMETERS</t>
  </si>
  <si>
    <t>LOCATIONS</t>
  </si>
  <si>
    <t>Facility Sq. Ft.</t>
  </si>
  <si>
    <t>Address</t>
  </si>
  <si>
    <t>6948 Otay Mesa Rd, San Diego, CA 92154</t>
  </si>
  <si>
    <t>d_x (LON)</t>
  </si>
  <si>
    <t>d_y (LAT)</t>
  </si>
  <si>
    <t>Stories</t>
  </si>
  <si>
    <t>https://timesofsandiego.com/business/2021/09/21/amazon-shows-off-new-3-million-foot-robot-filled-san3-center-in-otay-mesa/</t>
  </si>
  <si>
    <t>ComStock County</t>
  </si>
  <si>
    <t>ComStock Bldg Id</t>
  </si>
  <si>
    <t>CA_SanDiegoCounty_G0600730</t>
  </si>
  <si>
    <t>165757-0.parquet</t>
  </si>
  <si>
    <t>11263 Oleander Ave, Fontana, CA 92337, United States</t>
  </si>
  <si>
    <t>CA_SanBernardinoCounty_G0600710</t>
  </si>
  <si>
    <t>157141-0.parquet</t>
  </si>
  <si>
    <t>https://en.wikipedia.org/wiki/List_of_Amazon_locations#United_States</t>
  </si>
  <si>
    <t>SAN3 - San Diego Amazon FC</t>
  </si>
  <si>
    <t>LAX9 - Fontana Amazon FC</t>
  </si>
  <si>
    <t>LGB6 - Riverside Amazon FC</t>
  </si>
  <si>
    <t>OXR1 - Oxnard Amazon FC</t>
  </si>
  <si>
    <t>BFL1 - Bakersfield Amazon FC</t>
  </si>
  <si>
    <t>https://www.pressenterprise.com/2018/01/12/city-of-riverside-is-getting-its-first-1-million-square-foot-amazon-fulfillment-center/</t>
  </si>
  <si>
    <t>20901 Krameria Ave, Riverside, CA 92508, United States</t>
  </si>
  <si>
    <t>CA_RiversideCounty_G0600650</t>
  </si>
  <si>
    <t>189454-0.parquet</t>
  </si>
  <si>
    <t>Central Valley CA</t>
  </si>
  <si>
    <t>https://www.pacbiztimes.com/2022/04/14/amazon-ramps-up-giant-new-facility-in-oxnard/#:~:text=(City%20of%20Oxnard%20courtesy%20photo,square%2Dfoot%20Oxnard%20fulfillment%20center%E2%80%A6</t>
  </si>
  <si>
    <t>CA_VenturaCounty_G0601110</t>
  </si>
  <si>
    <t>3100 Sakioka Dr, Oxnard, CA 93030, United States</t>
  </si>
  <si>
    <t>SDG&amp;E</t>
  </si>
  <si>
    <t>SCE</t>
  </si>
  <si>
    <t>PG&amp;E</t>
  </si>
  <si>
    <t>FAT1 - Fresno Amazon FC</t>
  </si>
  <si>
    <t>Northern CA</t>
  </si>
  <si>
    <t>OAK5 - Newark Amazon FC</t>
  </si>
  <si>
    <t>SMF1 - Sacramento Amazon FC</t>
  </si>
  <si>
    <t>38811 Cherry St, Newark, CA 94560, United States</t>
  </si>
  <si>
    <t>OAK3 - Patterson Amazon FC</t>
  </si>
  <si>
    <t>255 Park Center Dr, Patterson, CA 95363, United States</t>
  </si>
  <si>
    <t>4900 W Elkhorn Blvd, Sacramento, CA 95835, United States</t>
  </si>
  <si>
    <t>3923 S B St, Stockton, CA 95206, United States</t>
  </si>
  <si>
    <t>SMF3 - Stockton Amazon FC</t>
  </si>
  <si>
    <t>3575 S Orange Ave, Fresno, CA 93725, United States</t>
  </si>
  <si>
    <t>1601 Petrol Rd, Bakersfield, CA 93308, United States</t>
  </si>
  <si>
    <t>https://www.graycor.com/projects/bfl1#:~:text=A%202.6M%20square%2Dfoot,with%20three%20full%20mezzanine%20levels.</t>
  </si>
  <si>
    <t>CA_KernCounty_G0600290</t>
  </si>
  <si>
    <t>311182-0.parquet</t>
  </si>
  <si>
    <t>221254-0.parquet</t>
  </si>
  <si>
    <t>avg. diesel fuel cost [$/l]</t>
  </si>
  <si>
    <t>Estimated Subscription Charge ($/kW)</t>
  </si>
  <si>
    <t>O&amp;M costs</t>
  </si>
  <si>
    <t>Hunter, C.,  Penev, M., Reznicek, E., Lustbader, J., Birky, A. &amp; Zhang, C. 2021. Spatial and Temporal Analysis of the Total Cost of Ownership for Class 8 Tractors and Class 4 Parcel Delivery Trucks. National Renewable Energy Laboratory, NREL/TP-5400-71796.</t>
  </si>
  <si>
    <t>Texas</t>
  </si>
  <si>
    <t>East Coast</t>
  </si>
  <si>
    <t>China</t>
  </si>
  <si>
    <t>Entergy</t>
  </si>
  <si>
    <t>ABE5 - Norristown Amazon FC</t>
  </si>
  <si>
    <t>2455 Boulevard of the Generals, Norristown, PA 19403, United States</t>
  </si>
  <si>
    <t>JFK8 - Staten Island Amazon FC</t>
  </si>
  <si>
    <t>546 Gulf Ave, Staten Island, NY 10314, United States</t>
  </si>
  <si>
    <t>JFK2 - Manhattan Amazon FC</t>
  </si>
  <si>
    <t>7 W 34th St., New York, NY 10001, United States</t>
  </si>
  <si>
    <t>https://www.cnet.com/tech/services-and-software/why-amazon-built-a-warehouse-inside-a-midtown-manhattan-office-tower/</t>
  </si>
  <si>
    <t>https://www.sunshipecommerce.com/amazon-jfk8-fulfillment-center-unites-man-machine/</t>
  </si>
  <si>
    <t>https://gist.github.com/lifewinning/9e889d3e5b556ceff5f3</t>
  </si>
  <si>
    <t>PECO</t>
  </si>
  <si>
    <t>ConEd Zone J</t>
  </si>
  <si>
    <t>https://www.cnbc.com/2022/09/01/amazon-took-solar-rooftops-offline-last-year-after-fires-explosions.html</t>
  </si>
  <si>
    <t>https://www.sacbee.com/news/business/article234617597.html#:~:text=The%20center%2C%20known%20as%20Amazon,a%20recent%20Wednesday%20afternoon%20wearing</t>
  </si>
  <si>
    <t>https://www.recordnet.com/story/news/local/2020/09/05/amazon-opened-new-stockton-based-sorting-facility-this-week/5730634002/</t>
  </si>
  <si>
    <t>HOU2 - Houston Amazon FC</t>
  </si>
  <si>
    <t>10550 Ella Blvd, Houston, TX 77038, United States</t>
  </si>
  <si>
    <t>https://www.bizjournals.com/houston/news/2018/09/07/photos-tour-amazon-fulfillment-center-in-north.html#:~:text=HOU2%20is%20one%20of%20nine,equipment%2C%20sports%20gear%20and%20electronics.</t>
  </si>
  <si>
    <t>AUS2 - Austin Amazon FC</t>
  </si>
  <si>
    <t>2000 E Pecan St, Pflugerville, TX 78660</t>
  </si>
  <si>
    <t>https://www.kxan.com/news/business/pflugerville-amazon-announce-820k-square-foot-fulfillment-center-to-open-in-2021/</t>
  </si>
  <si>
    <t>Austin Energy</t>
  </si>
  <si>
    <t>Oncor</t>
  </si>
  <si>
    <t>CPS Energy</t>
  </si>
  <si>
    <t>SAT1 - San Antonio Amazon FC</t>
  </si>
  <si>
    <t>6000 Enterprise Avenue,  Schertz, TX 78154-1461</t>
  </si>
  <si>
    <t>700 Westport Pkwy, Fort Worth, TX 76177, United States</t>
  </si>
  <si>
    <t>DFW7 - Fort Worth Amazon FC</t>
  </si>
  <si>
    <t>33333 Lyndon B Johnson Fwy, Dallas, TX 75241, United States</t>
  </si>
  <si>
    <t>FTW1 - Dallas Amazon FC</t>
  </si>
  <si>
    <t>CA_AlamedaCounty_G0600010</t>
  </si>
  <si>
    <t>126822-0.parquet</t>
  </si>
  <si>
    <t>CA_SacramentoCounty_G0600670</t>
  </si>
  <si>
    <t>232629-0.parquet</t>
  </si>
  <si>
    <t>CA_StanislausCounty_G0600990</t>
  </si>
  <si>
    <t>Shanghai</t>
  </si>
  <si>
    <t>Nanjing-Jiangsu</t>
  </si>
  <si>
    <t>Suzhou-Jiangsu</t>
  </si>
  <si>
    <t>Wuxi-Jiangsu</t>
  </si>
  <si>
    <t>Changzhou-Jiangsu</t>
  </si>
  <si>
    <t>Hangzhou-Zhejiang</t>
  </si>
  <si>
    <t>Ningbo-Zhejiang</t>
  </si>
  <si>
    <t>75925-0.parquet</t>
  </si>
  <si>
    <t>CA_SanJoaquinCounty_G0600770</t>
  </si>
  <si>
    <t>160158-0.parquet</t>
  </si>
  <si>
    <t>CA_FresnoCounty_G0600190</t>
  </si>
  <si>
    <t>255573-0.parquet</t>
  </si>
  <si>
    <t>TX_HarrisCounty_G4802010</t>
  </si>
  <si>
    <t>253249-0.parquet</t>
  </si>
  <si>
    <t>TX_TravisCounty_G4804530</t>
  </si>
  <si>
    <t>342290-0.parquet</t>
  </si>
  <si>
    <t>TX_BexarCounty_G4800290</t>
  </si>
  <si>
    <t>222706-0.parquet</t>
  </si>
  <si>
    <t>TX_TarrantCounty_G4804390</t>
  </si>
  <si>
    <t>87929-0.parquet</t>
  </si>
  <si>
    <t>TX_DallasCounty_G4801130</t>
  </si>
  <si>
    <t>298010-0.parquet</t>
  </si>
  <si>
    <t>PA_MontgomeryCounty_G4200910</t>
  </si>
  <si>
    <t>56288-0.parquet</t>
  </si>
  <si>
    <t>NY_RichmondCounty_G3600850</t>
  </si>
  <si>
    <t>309686-0.parquet</t>
  </si>
  <si>
    <t>NY_NewYorkCounty_G3600610</t>
  </si>
  <si>
    <t>176294-0.parquet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</si>
</sst>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0.0000"/>
    <numFmt numFmtId="166" formatCode="0.000"/>
    <numFmt numFmtId="167" formatCode="&quot;$&quot;#,##0.00"/>
    <numFmt numFmtId="168" formatCode="&quot;$&quot;#,##0.00000"/>
    <numFmt numFmtId="169" formatCode="_(* #,##0_);_(* \(#,##0\);_(* &quot;-&quot;??_);_(@_)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42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18" fillId="0" borderId="0" xfId="42" applyAlignment="1"/>
    <xf numFmtId="0" fontId="16" fillId="0" borderId="0" xfId="0" applyFont="1"/>
    <xf numFmtId="0" fontId="22" fillId="0" borderId="0" xfId="0" applyFont="1"/>
    <xf numFmtId="0" fontId="23" fillId="0" borderId="0" xfId="0" applyFont="1"/>
    <xf numFmtId="0" fontId="0" fillId="0" borderId="10" xfId="0" applyBorder="1"/>
    <xf numFmtId="0" fontId="19" fillId="0" borderId="10" xfId="0" applyFont="1" applyBorder="1"/>
    <xf numFmtId="0" fontId="16" fillId="0" borderId="10" xfId="0" applyFont="1" applyBorder="1"/>
    <xf numFmtId="0" fontId="20" fillId="0" borderId="10" xfId="0" applyFont="1" applyBorder="1"/>
    <xf numFmtId="0" fontId="0" fillId="0" borderId="0" xfId="0" applyBorder="1"/>
    <xf numFmtId="0" fontId="19" fillId="0" borderId="0" xfId="0" applyFont="1" applyBorder="1"/>
    <xf numFmtId="0" fontId="20" fillId="0" borderId="0" xfId="0" applyFont="1" applyBorder="1"/>
    <xf numFmtId="0" fontId="24" fillId="0" borderId="10" xfId="0" applyFont="1" applyBorder="1"/>
    <xf numFmtId="0" fontId="18" fillId="0" borderId="0" xfId="42" applyBorder="1" applyAlignment="1"/>
    <xf numFmtId="14" fontId="20" fillId="0" borderId="0" xfId="0" applyNumberFormat="1" applyFont="1" applyBorder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44" applyNumberFormat="1" applyFont="1"/>
    <xf numFmtId="0" fontId="25" fillId="0" borderId="0" xfId="0" applyFont="1"/>
    <xf numFmtId="168" fontId="0" fillId="0" borderId="0" xfId="44" applyNumberFormat="1" applyFont="1"/>
    <xf numFmtId="9" fontId="18" fillId="0" borderId="0" xfId="42" applyNumberFormat="1"/>
    <xf numFmtId="167" fontId="0" fillId="0" borderId="0" xfId="0" applyNumberFormat="1"/>
    <xf numFmtId="169" fontId="0" fillId="0" borderId="0" xfId="43" applyNumberFormat="1" applyFont="1"/>
    <xf numFmtId="0" fontId="0" fillId="0" borderId="0" xfId="0" applyFont="1"/>
    <xf numFmtId="0" fontId="14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795868</xdr:colOff>
      <xdr:row>0</xdr:row>
      <xdr:rowOff>0</xdr:rowOff>
    </xdr:from>
    <xdr:to>
      <xdr:col>14</xdr:col>
      <xdr:colOff>33867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280D-151A-DE4E-B26B-136F3028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1" y="0"/>
          <a:ext cx="5046133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101</xdr:col>
      <xdr:colOff>101600</xdr:colOff>
      <xdr:row>0</xdr:row>
      <xdr:rowOff>0</xdr:rowOff>
    </xdr:from>
    <xdr:to>
      <xdr:col>104</xdr:col>
      <xdr:colOff>596901</xdr:colOff>
      <xdr:row>8</xdr:row>
      <xdr:rowOff>16027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26BD5-E420-7241-8A45-C82C3C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43104" y="0"/>
          <a:ext cx="2958910" cy="1620238"/>
        </a:xfrm>
        <a:prstGeom prst="rect">
          <a:avLst/>
        </a:prstGeom>
      </xdr:spPr>
    </xdr:pic>
    <xdr:clientData/>
  </xdr:twoCellAnchor>
  <xdr:twoCellAnchor editAs="oneCell">
    <xdr:from>
      <xdr:col>106</xdr:col>
      <xdr:colOff>0</xdr:colOff>
      <xdr:row>0</xdr:row>
      <xdr:rowOff>0</xdr:rowOff>
    </xdr:from>
    <xdr:to>
      <xdr:col>108</xdr:col>
      <xdr:colOff>743857</xdr:colOff>
      <xdr:row>7</xdr:row>
      <xdr:rowOff>196478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B7CAFC-51A0-7738-CB8F-1E5590C29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03000" y="0"/>
          <a:ext cx="2394857" cy="1593478"/>
        </a:xfrm>
        <a:prstGeom prst="rect">
          <a:avLst/>
        </a:prstGeom>
      </xdr:spPr>
    </xdr:pic>
    <xdr:clientData/>
  </xdr:twoCellAnchor>
  <xdr:twoCellAnchor editAs="oneCell">
    <xdr:from>
      <xdr:col>110</xdr:col>
      <xdr:colOff>0</xdr:colOff>
      <xdr:row>0</xdr:row>
      <xdr:rowOff>0</xdr:rowOff>
    </xdr:from>
    <xdr:to>
      <xdr:col>112</xdr:col>
      <xdr:colOff>743857</xdr:colOff>
      <xdr:row>7</xdr:row>
      <xdr:rowOff>196478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223A4F-A8C8-AC4B-986D-9721155F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56383" y="0"/>
          <a:ext cx="2392155" cy="1615095"/>
        </a:xfrm>
        <a:prstGeom prst="rect">
          <a:avLst/>
        </a:prstGeom>
      </xdr:spPr>
    </xdr:pic>
    <xdr:clientData/>
  </xdr:twoCellAnchor>
  <xdr:twoCellAnchor editAs="oneCell">
    <xdr:from>
      <xdr:col>115</xdr:col>
      <xdr:colOff>1</xdr:colOff>
      <xdr:row>0</xdr:row>
      <xdr:rowOff>1</xdr:rowOff>
    </xdr:from>
    <xdr:to>
      <xdr:col>117</xdr:col>
      <xdr:colOff>635001</xdr:colOff>
      <xdr:row>8</xdr:row>
      <xdr:rowOff>30713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7E3841-6D99-73DF-2D85-13C149104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32501" y="1"/>
          <a:ext cx="2286000" cy="1656312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0</xdr:row>
      <xdr:rowOff>0</xdr:rowOff>
    </xdr:from>
    <xdr:to>
      <xdr:col>121</xdr:col>
      <xdr:colOff>389467</xdr:colOff>
      <xdr:row>8</xdr:row>
      <xdr:rowOff>1640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D7ACF7-D390-59C3-FFDA-0442BC04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738267" y="0"/>
          <a:ext cx="2048933" cy="1627240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0</xdr:row>
      <xdr:rowOff>0</xdr:rowOff>
    </xdr:from>
    <xdr:to>
      <xdr:col>127</xdr:col>
      <xdr:colOff>296334</xdr:colOff>
      <xdr:row>7</xdr:row>
      <xdr:rowOff>196127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E1FA0A-9687-79CA-81AE-1C3F71F6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86933" y="0"/>
          <a:ext cx="2785534" cy="1618527"/>
        </a:xfrm>
        <a:prstGeom prst="rect">
          <a:avLst/>
        </a:prstGeom>
      </xdr:spPr>
    </xdr:pic>
    <xdr:clientData/>
  </xdr:twoCellAnchor>
  <xdr:oneCellAnchor>
    <xdr:from>
      <xdr:col>129</xdr:col>
      <xdr:colOff>0</xdr:colOff>
      <xdr:row>0</xdr:row>
      <xdr:rowOff>0</xdr:rowOff>
    </xdr:from>
    <xdr:ext cx="2785534" cy="1618527"/>
    <xdr:pic>
      <xdr:nvPicPr>
        <xdr:cNvPr id="11" name="Picture 10">
          <a:extLst>
            <a:ext uri="{FF2B5EF4-FFF2-40B4-BE49-F238E27FC236}">
              <a16:creationId xmlns:a16="http://schemas.microsoft.com/office/drawing/2014/main" id="{A1E2D054-9A70-6548-9E8C-82D275DD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86933" y="0"/>
          <a:ext cx="2785534" cy="1618527"/>
        </a:xfrm>
        <a:prstGeom prst="rect">
          <a:avLst/>
        </a:prstGeom>
      </xdr:spPr>
    </xdr:pic>
    <xdr:clientData/>
  </xdr:oneCellAnchor>
  <xdr:oneCellAnchor>
    <xdr:from>
      <xdr:col>139</xdr:col>
      <xdr:colOff>0</xdr:colOff>
      <xdr:row>0</xdr:row>
      <xdr:rowOff>0</xdr:rowOff>
    </xdr:from>
    <xdr:ext cx="2785534" cy="1618527"/>
    <xdr:pic>
      <xdr:nvPicPr>
        <xdr:cNvPr id="12" name="Picture 11">
          <a:extLst>
            <a:ext uri="{FF2B5EF4-FFF2-40B4-BE49-F238E27FC236}">
              <a16:creationId xmlns:a16="http://schemas.microsoft.com/office/drawing/2014/main" id="{07DBB341-641C-D041-BF46-9668A7FCB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035600" y="0"/>
          <a:ext cx="2785534" cy="1618527"/>
        </a:xfrm>
        <a:prstGeom prst="rect">
          <a:avLst/>
        </a:prstGeom>
      </xdr:spPr>
    </xdr:pic>
    <xdr:clientData/>
  </xdr:oneCellAnchor>
  <xdr:oneCellAnchor>
    <xdr:from>
      <xdr:col>134</xdr:col>
      <xdr:colOff>0</xdr:colOff>
      <xdr:row>0</xdr:row>
      <xdr:rowOff>0</xdr:rowOff>
    </xdr:from>
    <xdr:ext cx="2785534" cy="1618527"/>
    <xdr:pic>
      <xdr:nvPicPr>
        <xdr:cNvPr id="13" name="Picture 12">
          <a:extLst>
            <a:ext uri="{FF2B5EF4-FFF2-40B4-BE49-F238E27FC236}">
              <a16:creationId xmlns:a16="http://schemas.microsoft.com/office/drawing/2014/main" id="{B1ABE976-6344-1D4A-93BF-BD0EFED6B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84267" y="0"/>
          <a:ext cx="2785534" cy="1618527"/>
        </a:xfrm>
        <a:prstGeom prst="rect">
          <a:avLst/>
        </a:prstGeom>
      </xdr:spPr>
    </xdr:pic>
    <xdr:clientData/>
  </xdr:oneCellAnchor>
  <xdr:twoCellAnchor editAs="oneCell">
    <xdr:from>
      <xdr:col>147</xdr:col>
      <xdr:colOff>0</xdr:colOff>
      <xdr:row>0</xdr:row>
      <xdr:rowOff>1</xdr:rowOff>
    </xdr:from>
    <xdr:to>
      <xdr:col>150</xdr:col>
      <xdr:colOff>668867</xdr:colOff>
      <xdr:row>8</xdr:row>
      <xdr:rowOff>11275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630CBE-D851-C270-E96B-D85CDE474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348500" y="1"/>
          <a:ext cx="3145367" cy="1636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0</xdr:row>
      <xdr:rowOff>0</xdr:rowOff>
    </xdr:from>
    <xdr:to>
      <xdr:col>10</xdr:col>
      <xdr:colOff>50800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2CF86-A651-D743-9490-2EB2F790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0"/>
          <a:ext cx="5016500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36</xdr:col>
      <xdr:colOff>495300</xdr:colOff>
      <xdr:row>8</xdr:row>
      <xdr:rowOff>16027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5CDA7D-4BA6-8540-B645-AEB0B1F29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0" y="0"/>
          <a:ext cx="2971800" cy="164162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604695</xdr:colOff>
      <xdr:row>8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A4F9-6036-4443-B559-6293BB42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0" y="0"/>
          <a:ext cx="7208695" cy="16256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mi Ariss" id="{89D706B1-2E1C-EE48-B6F0-7D568FB8E246}" userId="c0e7d0dd56376d3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2-10-10T23:21:21.97" personId="{89D706B1-2E1C-EE48-B6F0-7D568FB8E246}" id="{4E22C16E-EFC9-704C-B70A-836D48A98DD8}">
    <text>l/km diesel</text>
  </threadedComment>
  <threadedComment ref="M2" dT="2022-10-10T23:21:21.97" personId="{89D706B1-2E1C-EE48-B6F0-7D568FB8E246}" id="{1CCD8B11-5F3D-3846-94A6-D382D0889867}">
    <text>l/km diesel</text>
  </threadedComment>
  <threadedComment ref="E6" dT="2022-10-11T17:35:26.34" personId="{89D706B1-2E1C-EE48-B6F0-7D568FB8E246}" id="{03BFBE06-21D5-2C4D-99D9-4C8C45137ED7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G6" dT="2022-10-11T17:35:26.34" personId="{89D706B1-2E1C-EE48-B6F0-7D568FB8E246}" id="{D8285F8F-1C22-D046-A6C6-633731A14F53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I6" dT="2022-10-11T17:35:26.34" personId="{89D706B1-2E1C-EE48-B6F0-7D568FB8E246}" id="{9353AD07-469D-0341-B7C1-2D4FFD30EE4C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K6" dT="2022-10-11T17:35:26.34" personId="{89D706B1-2E1C-EE48-B6F0-7D568FB8E246}" id="{23F4B564-12A4-E44D-BF14-10406283DC88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N6" dT="2022-10-11T22:37:03.23" personId="{89D706B1-2E1C-EE48-B6F0-7D568FB8E246}" id="{7A16BA51-A494-D449-A257-68FE718473FB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  <threadedComment ref="D9" dT="2022-10-11T18:31:56.44" personId="{89D706B1-2E1C-EE48-B6F0-7D568FB8E246}" id="{D8D682BE-73C9-9D43-AF05-073BBC89BC55}">
    <text>liters</text>
  </threadedComment>
  <threadedComment ref="M9" dT="2022-10-11T18:31:56.44" personId="{89D706B1-2E1C-EE48-B6F0-7D568FB8E246}" id="{705653D8-CD09-2E45-885E-671E64ED0570}">
    <text>liters</text>
  </threadedComment>
  <threadedComment ref="D11" dT="2022-10-11T18:32:24.07" personId="{89D706B1-2E1C-EE48-B6F0-7D568FB8E246}" id="{D6B21071-F777-0F47-8934-9DF91760E3BF}">
    <text>No refuel time cost for diesel trucks</text>
  </threadedComment>
  <threadedComment ref="M11" dT="2022-10-11T18:32:24.07" personId="{89D706B1-2E1C-EE48-B6F0-7D568FB8E246}" id="{16945A97-81D2-9C48-9C60-D71204EE71A5}">
    <text>No refuel time cost for diesel trucks</text>
  </threadedComment>
  <threadedComment ref="B12" dT="2022-10-10T22:05:15.11" personId="{89D706B1-2E1C-EE48-B6F0-7D568FB8E246}" id="{21C3E175-05F8-BC4B-9BB7-C43A148A63DF}">
    <text>battery-to-wheels efficiency</text>
  </threadedComment>
  <threadedComment ref="E14" dT="2022-10-11T17:35:26.34" personId="{89D706B1-2E1C-EE48-B6F0-7D568FB8E246}" id="{B694072B-4BAA-F14F-96F8-FCA78577E33D}">
    <text>1Hunter, C.,  Penev, M., Reznicek, E., Lustbader, J., Birky, A. &amp; Zhang, C. 2021. Spatial and Temporal Analysis of the Total Cost of Ownership for Class 8 Tractors and Class 4 Parcel Delivery Trucks. National Renewable Energy Laboratory, NREL/TP-5400-71796.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lectrek.co/2020/06/06/tesla-battery-degradation-replacement/" TargetMode="External"/><Relationship Id="rId18" Type="http://schemas.openxmlformats.org/officeDocument/2006/relationships/hyperlink" Target="https://www.tesla.com/semi" TargetMode="External"/><Relationship Id="rId26" Type="http://schemas.openxmlformats.org/officeDocument/2006/relationships/hyperlink" Target="https://www.bts.gov/browse-statistical-products-and-data/freight-facts-and-figures/average-truck-speeds-select" TargetMode="External"/><Relationship Id="rId39" Type="http://schemas.openxmlformats.org/officeDocument/2006/relationships/hyperlink" Target="https://www.pensketruckleasing.com/pdfs/Freightliner_Cascadia-113.pdf" TargetMode="External"/><Relationship Id="rId21" Type="http://schemas.openxmlformats.org/officeDocument/2006/relationships/hyperlink" Target="https://pubs.acs.org/doi/full/10.1021/acsenergylett.7b00432" TargetMode="External"/><Relationship Id="rId34" Type="http://schemas.openxmlformats.org/officeDocument/2006/relationships/hyperlink" Target="https://www.barrons.com/articles/tesla-stock-ev-batteries-commodities-51654536274" TargetMode="External"/><Relationship Id="rId42" Type="http://schemas.openxmlformats.org/officeDocument/2006/relationships/hyperlink" Target="https://www.nrel.gov/docs/fy22osti/82081.pdf" TargetMode="External"/><Relationship Id="rId47" Type="http://schemas.openxmlformats.org/officeDocument/2006/relationships/hyperlink" Target="https://californiahvip.org/vehicles/byd-8tt-tandem-axle-tractor/" TargetMode="External"/><Relationship Id="rId50" Type="http://schemas.openxmlformats.org/officeDocument/2006/relationships/hyperlink" Target="https://blogs.edf.org/climate411/files/2022/02/EDF-MDHD-Electrification-v1.6_20220209.pdf" TargetMode="External"/><Relationship Id="rId7" Type="http://schemas.openxmlformats.org/officeDocument/2006/relationships/hyperlink" Target="https://electrek.co/2020/06/06/tesla-battery-degradation-replacement/" TargetMode="External"/><Relationship Id="rId2" Type="http://schemas.openxmlformats.org/officeDocument/2006/relationships/hyperlink" Target="https://www.tesla.com/semi" TargetMode="External"/><Relationship Id="rId16" Type="http://schemas.openxmlformats.org/officeDocument/2006/relationships/hyperlink" Target="https://pubs.acs.org/doi/full/10.1021/acsenergylett.7b00432" TargetMode="External"/><Relationship Id="rId29" Type="http://schemas.openxmlformats.org/officeDocument/2006/relationships/hyperlink" Target="https://www.bts.gov/browse-statistical-products-and-data/freight-facts-and-figures/average-hourly-wages-select-freight" TargetMode="External"/><Relationship Id="rId11" Type="http://schemas.openxmlformats.org/officeDocument/2006/relationships/hyperlink" Target="https://www.trucks.com/2019/09/05/everything-we-know-about-the-tesla-semi-truck/" TargetMode="External"/><Relationship Id="rId24" Type="http://schemas.openxmlformats.org/officeDocument/2006/relationships/hyperlink" Target="https://www.tesla.com/semi" TargetMode="External"/><Relationship Id="rId32" Type="http://schemas.openxmlformats.org/officeDocument/2006/relationships/hyperlink" Target="https://www.nrel.gov/docs/fy22osti/82081.pdf" TargetMode="External"/><Relationship Id="rId37" Type="http://schemas.openxmlformats.org/officeDocument/2006/relationships/hyperlink" Target="https://www.tesla.com/support/vehicle-warranty" TargetMode="External"/><Relationship Id="rId40" Type="http://schemas.openxmlformats.org/officeDocument/2006/relationships/hyperlink" Target="https://www.sciencedirect.com/topics/engineering/diesel-fuel" TargetMode="External"/><Relationship Id="rId45" Type="http://schemas.openxmlformats.org/officeDocument/2006/relationships/hyperlink" Target="https://pubs.acs.org/doi/full/10.1021/acsenergylett.7b00432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seekingalpha.com/instablog/227454-john-petersen/2323012-data-on-class-8-tractor-trailer-combination-weights" TargetMode="External"/><Relationship Id="rId10" Type="http://schemas.openxmlformats.org/officeDocument/2006/relationships/hyperlink" Target="https://www.tesla.com/semi" TargetMode="External"/><Relationship Id="rId19" Type="http://schemas.openxmlformats.org/officeDocument/2006/relationships/hyperlink" Target="https://pubs.acs.org/doi/full/10.1021/acsenergylett.7b00432" TargetMode="External"/><Relationship Id="rId31" Type="http://schemas.openxmlformats.org/officeDocument/2006/relationships/hyperlink" Target="https://www.nrel.gov/docs/fy22osti/82081.pdf" TargetMode="External"/><Relationship Id="rId44" Type="http://schemas.openxmlformats.org/officeDocument/2006/relationships/hyperlink" Target="https://pubs.acs.org/doi/full/10.1021/acsenergylett.7b00432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trucks.com/2019/09/05/everything-we-know-about-the-tesla-semi-truck/" TargetMode="External"/><Relationship Id="rId9" Type="http://schemas.openxmlformats.org/officeDocument/2006/relationships/hyperlink" Target="https://www.tesla.com/semi" TargetMode="External"/><Relationship Id="rId14" Type="http://schemas.openxmlformats.org/officeDocument/2006/relationships/hyperlink" Target="https://pubs.acs.org/doi/full/10.1021/acsenergylett.7b00432" TargetMode="External"/><Relationship Id="rId22" Type="http://schemas.openxmlformats.org/officeDocument/2006/relationships/hyperlink" Target="https://pubs.acs.org/doi/full/10.1021/acsenergylett.7b00432" TargetMode="External"/><Relationship Id="rId27" Type="http://schemas.openxmlformats.org/officeDocument/2006/relationships/hyperlink" Target="https://www.bts.gov/browse-statistical-products-and-data/freight-facts-and-figures/combination-truck-fuel-consumption" TargetMode="External"/><Relationship Id="rId30" Type="http://schemas.openxmlformats.org/officeDocument/2006/relationships/hyperlink" Target="https://www.paragonrouting.com/en-us/blog/post/want-optimize-your-fleet-know-your-average-trucking-cost-mile/" TargetMode="External"/><Relationship Id="rId35" Type="http://schemas.openxmlformats.org/officeDocument/2006/relationships/hyperlink" Target="https://www.barrons.com/articles/tesla-stock-ev-batteries-commodities-51654536274" TargetMode="External"/><Relationship Id="rId43" Type="http://schemas.openxmlformats.org/officeDocument/2006/relationships/hyperlink" Target="https://www.tesla.com/semi" TargetMode="External"/><Relationship Id="rId48" Type="http://schemas.openxmlformats.org/officeDocument/2006/relationships/hyperlink" Target="https://en.byd.com/news/press-release-buses-delivery-vans-and-garbage-trucks-are-the-electric-vehicles-next-door/" TargetMode="External"/><Relationship Id="rId8" Type="http://schemas.openxmlformats.org/officeDocument/2006/relationships/hyperlink" Target="https://www.tesla.com/semi" TargetMode="External"/><Relationship Id="rId51" Type="http://schemas.openxmlformats.org/officeDocument/2006/relationships/hyperlink" Target="https://gasprices.aaa.com/state-gas-price-averages/" TargetMode="External"/><Relationship Id="rId3" Type="http://schemas.openxmlformats.org/officeDocument/2006/relationships/hyperlink" Target="https://www.tesla.com/semi" TargetMode="External"/><Relationship Id="rId12" Type="http://schemas.openxmlformats.org/officeDocument/2006/relationships/hyperlink" Target="https://seekingalpha.com/instablog/227454-john-petersen/2323012-data-on-class-8-tractor-trailer-combination-weights" TargetMode="External"/><Relationship Id="rId17" Type="http://schemas.openxmlformats.org/officeDocument/2006/relationships/hyperlink" Target="https://www.tesla.com/semi" TargetMode="External"/><Relationship Id="rId25" Type="http://schemas.openxmlformats.org/officeDocument/2006/relationships/hyperlink" Target="https://www.energy.gov/eere/vehicles/fact-671-april-18-2011-average-truck-speeds" TargetMode="External"/><Relationship Id="rId33" Type="http://schemas.openxmlformats.org/officeDocument/2006/relationships/hyperlink" Target="https://www.nrel.gov/docs/fy22osti/82081.pdf" TargetMode="External"/><Relationship Id="rId38" Type="http://schemas.openxmlformats.org/officeDocument/2006/relationships/hyperlink" Target="https://www.nrel.gov/docs/fy22osti/82081.pdf" TargetMode="External"/><Relationship Id="rId46" Type="http://schemas.openxmlformats.org/officeDocument/2006/relationships/hyperlink" Target="https://electrek.co/2020/06/06/tesla-battery-degradation-replacement/" TargetMode="External"/><Relationship Id="rId20" Type="http://schemas.openxmlformats.org/officeDocument/2006/relationships/hyperlink" Target="https://pubs.acs.org/doi/full/10.1021/acsenergylett.7b00432" TargetMode="External"/><Relationship Id="rId41" Type="http://schemas.openxmlformats.org/officeDocument/2006/relationships/hyperlink" Target="https://www.bts.gov/browse-statistical-products-and-data/freight-facts-and-figures/average-hourly-wages-select-freight" TargetMode="External"/><Relationship Id="rId54" Type="http://schemas.microsoft.com/office/2017/10/relationships/threadedComment" Target="../threadedComments/threadedComment1.xml"/><Relationship Id="rId1" Type="http://schemas.openxmlformats.org/officeDocument/2006/relationships/hyperlink" Target="https://www.tesla.com/semi" TargetMode="External"/><Relationship Id="rId6" Type="http://schemas.openxmlformats.org/officeDocument/2006/relationships/hyperlink" Target="https://www.bts.gov/browse-statistical-products-and-data/freight-facts-and-figures/average-hourly-wages-select-freight" TargetMode="External"/><Relationship Id="rId15" Type="http://schemas.openxmlformats.org/officeDocument/2006/relationships/hyperlink" Target="https://pubs.acs.org/doi/full/10.1021/acsenergylett.7b00432" TargetMode="External"/><Relationship Id="rId23" Type="http://schemas.openxmlformats.org/officeDocument/2006/relationships/hyperlink" Target="https://www.tesla.com/semi" TargetMode="External"/><Relationship Id="rId28" Type="http://schemas.openxmlformats.org/officeDocument/2006/relationships/hyperlink" Target="https://www.bts.gov/browse-statistical-products-and-data/freight-facts-and-figures/average-hourly-wages-select-freight" TargetMode="External"/><Relationship Id="rId36" Type="http://schemas.openxmlformats.org/officeDocument/2006/relationships/hyperlink" Target="https://www.barrons.com/articles/tesla-stock-ev-batteries-commodities-51654536274" TargetMode="External"/><Relationship Id="rId49" Type="http://schemas.openxmlformats.org/officeDocument/2006/relationships/hyperlink" Target="https://www.tesla.com/sem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st.github.com/lifewinning/9e889d3e5b556ceff5f3" TargetMode="External"/><Relationship Id="rId13" Type="http://schemas.openxmlformats.org/officeDocument/2006/relationships/hyperlink" Target="https://www.sacbee.com/news/business/article234617597.html" TargetMode="External"/><Relationship Id="rId18" Type="http://schemas.openxmlformats.org/officeDocument/2006/relationships/hyperlink" Target="https://www.oncor.com/content/oncorwww/us/en/home/smart-energy/electric-vehicles/commercial.html" TargetMode="External"/><Relationship Id="rId3" Type="http://schemas.openxmlformats.org/officeDocument/2006/relationships/hyperlink" Target="https://www.pressenterprise.com/2018/01/12/city-of-riverside-is-getting-its-first-1-million-square-foot-amazon-fulfillment-center/" TargetMode="External"/><Relationship Id="rId21" Type="http://schemas.openxmlformats.org/officeDocument/2006/relationships/hyperlink" Target="https://gist.github.com/lifewinning/9e889d3e5b556ceff5f3" TargetMode="External"/><Relationship Id="rId7" Type="http://schemas.openxmlformats.org/officeDocument/2006/relationships/hyperlink" Target="https://www.sunshipecommerce.com/amazon-jfk8-fulfillment-center-unites-man-machine/" TargetMode="External"/><Relationship Id="rId12" Type="http://schemas.openxmlformats.org/officeDocument/2006/relationships/hyperlink" Target="https://www.cnbc.com/2022/09/01/amazon-took-solar-rooftops-offline-last-year-after-fires-explosions.html" TargetMode="External"/><Relationship Id="rId17" Type="http://schemas.openxmlformats.org/officeDocument/2006/relationships/hyperlink" Target="https://austinenergy.com/ae/about/company-profile/electric-system" TargetMode="External"/><Relationship Id="rId2" Type="http://schemas.openxmlformats.org/officeDocument/2006/relationships/hyperlink" Target="https://en.wikipedia.org/wiki/List_of_Amazon_locations" TargetMode="External"/><Relationship Id="rId16" Type="http://schemas.openxmlformats.org/officeDocument/2006/relationships/hyperlink" Target="https://www.kxan.com/news/business/pflugerville-amazon-announce-820k-square-foot-fulfillment-center-to-open-in-2021/" TargetMode="External"/><Relationship Id="rId20" Type="http://schemas.openxmlformats.org/officeDocument/2006/relationships/hyperlink" Target="https://www.cpsenergy.com/" TargetMode="External"/><Relationship Id="rId1" Type="http://schemas.openxmlformats.org/officeDocument/2006/relationships/hyperlink" Target="https://timesofsandiego.com/business/2021/09/21/amazon-shows-off-new-3-million-foot-robot-filled-san3-center-in-otay-mesa/" TargetMode="External"/><Relationship Id="rId6" Type="http://schemas.openxmlformats.org/officeDocument/2006/relationships/hyperlink" Target="https://www.cnet.com/tech/services-and-software/why-amazon-built-a-warehouse-inside-a-midtown-manhattan-office-tower/" TargetMode="External"/><Relationship Id="rId11" Type="http://schemas.openxmlformats.org/officeDocument/2006/relationships/hyperlink" Target="https://www.peco.com/MyAccount/MyService/Pages/ElectricPricetoCompare.aspx" TargetMode="External"/><Relationship Id="rId5" Type="http://schemas.openxmlformats.org/officeDocument/2006/relationships/hyperlink" Target="https://www.graycor.com/projects/bfl1" TargetMode="External"/><Relationship Id="rId15" Type="http://schemas.openxmlformats.org/officeDocument/2006/relationships/hyperlink" Target="https://www.bizjournals.com/houston/news/2018/09/07/photos-tour-amazon-fulfillment-center-in-north.html" TargetMode="External"/><Relationship Id="rId23" Type="http://schemas.openxmlformats.org/officeDocument/2006/relationships/hyperlink" Target="https://gist.github.com/lifewinning/9e889d3e5b556ceff5f3" TargetMode="External"/><Relationship Id="rId10" Type="http://schemas.openxmlformats.org/officeDocument/2006/relationships/hyperlink" Target="https://gist.github.com/lifewinning/9e889d3e5b556ceff5f3" TargetMode="External"/><Relationship Id="rId19" Type="http://schemas.openxmlformats.org/officeDocument/2006/relationships/hyperlink" Target="https://www.oncor.com/content/oncorwww/us/en/home/smart-energy/electric-vehicles/commercial.html" TargetMode="External"/><Relationship Id="rId4" Type="http://schemas.openxmlformats.org/officeDocument/2006/relationships/hyperlink" Target="https://www.pacbiztimes.com/2022/04/14/amazon-ramps-up-giant-new-facility-in-oxnard/" TargetMode="External"/><Relationship Id="rId9" Type="http://schemas.openxmlformats.org/officeDocument/2006/relationships/hyperlink" Target="https://gist.github.com/lifewinning/9e889d3e5b556ceff5f3" TargetMode="External"/><Relationship Id="rId14" Type="http://schemas.openxmlformats.org/officeDocument/2006/relationships/hyperlink" Target="https://www.recordnet.com/story/news/local/2020/09/05/amazon-opened-new-stockton-based-sorting-facility-this-week/5730634002/" TargetMode="External"/><Relationship Id="rId22" Type="http://schemas.openxmlformats.org/officeDocument/2006/relationships/hyperlink" Target="https://gist.github.com/lifewinning/9e889d3e5b556ceff5f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8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26" Type="http://schemas.openxmlformats.org/officeDocument/2006/relationships/hyperlink" Target="https://www.pge.com/tariffs/assets/pdf/tariffbook/ELEC_SCHEDS_B-20.pdf" TargetMode="External"/><Relationship Id="rId3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DRTP%2Epdf&amp;parent=%2Fteams%2FPublic%2FTM2%2FShared%20Documents%2FPublic%2FRegulatory%2FTariff%2DSCE%20Tariff%20Books%2FElectric%2FSchedules%2FGeneral%20Service%20%26%20Industrial%20Rates" TargetMode="External"/><Relationship Id="rId21" Type="http://schemas.openxmlformats.org/officeDocument/2006/relationships/hyperlink" Target="https://www.pge.com/tariffs/assets/pdf/tariffbook/ELEC_SCHEDS_B-1.pdf" TargetMode="External"/><Relationship Id="rId34" Type="http://schemas.openxmlformats.org/officeDocument/2006/relationships/hyperlink" Target="https://tariff.sdge.com/tm2/pdf/ELEC_ELEC-SCHEDS_AL-TOU2.pdf" TargetMode="External"/><Relationship Id="rId7" Type="http://schemas.openxmlformats.org/officeDocument/2006/relationships/hyperlink" Target="https://www.pge.com/tariffs/assets/pdf/tariffbook/ELEC_SCHEDS_BEV.pdf" TargetMode="External"/><Relationship Id="rId1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17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5" Type="http://schemas.openxmlformats.org/officeDocument/2006/relationships/hyperlink" Target="https://www.pge.com/tariffs/assets/pdf/tariffbook/ELEC_SCHEDS_B-19.pdf" TargetMode="External"/><Relationship Id="rId33" Type="http://schemas.openxmlformats.org/officeDocument/2006/relationships/hyperlink" Target="https://tariff.sdge.com/tm2/pdf/ELEC_ELEC-SCHEDS_AL-TOU.pdf" TargetMode="External"/><Relationship Id="rId2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16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0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Epdf&amp;parent=%2Fteams%2FPublic%2FTM2%2FShared%20Documents%2FPublic%2FRegulatory%2FTariff%2DSCE%20Tariff%20Books%2FElectric%2FSchedules%2FGeneral%20Service%20%26%20Industrial%20Rates" TargetMode="External"/><Relationship Id="rId29" Type="http://schemas.openxmlformats.org/officeDocument/2006/relationships/hyperlink" Target="https://tariff.sdge.com/tm2/pdf/ELEC_ELEC-SCHEDS_TOU-M.pdf" TargetMode="External"/><Relationship Id="rId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1%2Epdf&amp;parent=%2Fteams%2FPublic%2FTM2%2FShared%20Documents%2FPublic%2FRegulatory%2FTariff%2DSCE%20Tariff%20Books%2FElectric%2FSchedules%2FGeneral%20Service%20%26%20Industrial%20Rates" TargetMode="External"/><Relationship Id="rId6" Type="http://schemas.openxmlformats.org/officeDocument/2006/relationships/hyperlink" Target="https://www.pge.com/tariffs/index.page" TargetMode="External"/><Relationship Id="rId11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EV%2D9%2Epdf&amp;parent=%2Fteams%2FPublic%2FTM2%2FShared%20Documents%2FPublic%2FRegulatory%2FTariff%2DSCE%20Tariff%20Books%2FElectric%2FSchedules%2FGeneral%20Service%20%26%20Industrial%20Rates" TargetMode="External"/><Relationship Id="rId24" Type="http://schemas.openxmlformats.org/officeDocument/2006/relationships/hyperlink" Target="https://www.pge.com/tariffs/assets/pdf/tariffbook/ELEC_SCHEDS_B-10.pdf" TargetMode="External"/><Relationship Id="rId32" Type="http://schemas.openxmlformats.org/officeDocument/2006/relationships/hyperlink" Target="https://tariff.sdge.com/tm2/ssi/inc_elec_rates_commodity.html" TargetMode="External"/><Relationship Id="rId5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TargetMode="External"/><Relationship Id="rId15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Epdf&amp;parent=%2Fteams%2FPublic%2FTM2%2FShared%20Documents%2FPublic%2FRegulatory%2FTariff%2DSCE%20Tariff%20Books%2FElectric%2FSchedules%2FGeneral%20Service%20%26%20Industrial%20Rates" TargetMode="External"/><Relationship Id="rId23" Type="http://schemas.openxmlformats.org/officeDocument/2006/relationships/hyperlink" Target="https://www.pge.com/tariffs/assets/pdf/tariffbook/ELEC_SCHEDS_B-6.pdf" TargetMode="External"/><Relationship Id="rId28" Type="http://schemas.openxmlformats.org/officeDocument/2006/relationships/hyperlink" Target="https://www.pge.com/tariffs/assets/pdf/tariffbook/ELEC_SCHEDS_B-20.pdf" TargetMode="External"/><Relationship Id="rId10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19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8%2DRTP%2Epdf&amp;parent=%2Fteams%2FPublic%2FTM2%2FShared%20Documents%2FPublic%2FRegulatory%2FTariff%2DSCE%20Tariff%20Books%2FElectric%2FSchedules%2FGeneral%20Service%20%26%20Industrial%20Rates" TargetMode="External"/><Relationship Id="rId31" Type="http://schemas.openxmlformats.org/officeDocument/2006/relationships/hyperlink" Target="https://www.sdge.com/business/electric-vehicles/power-your-drive-for-fleets/ev-hp" TargetMode="External"/><Relationship Id="rId4" Type="http://schemas.openxmlformats.org/officeDocument/2006/relationships/hyperlink" Target="https://edisonintl.sharepoint.com/teams/Public/TM2/Shared%20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7%2Epdf&amp;parent=%2Fteams%2FPublic%2FTM2%2FShared%20Documents%2FPublic%2FRegulatory%2FTariff%2DSCE%20Tariff%20Books%2FElectric%2FSchedules%2FGeneral%20Service%20%26%20Industrial%20Rates" TargetMode="External"/><Relationship Id="rId9" Type="http://schemas.openxmlformats.org/officeDocument/2006/relationships/hyperlink" Target="https://www.sdge.com/rates-and-regulations/current-and-effective-tariffs" TargetMode="External"/><Relationship Id="rId14" Type="http://schemas.openxmlformats.org/officeDocument/2006/relationships/hyperlink" Target="https://edisonintl.sharepoint.com/teams/Public/TM2/Shared%20Documents/Forms/AllItems.aspx?ga=1&amp;id=%2Fteams%2FPublic%2FTM2%2FShared%20Documents%2FPublic%2FRegulatory%2FTariff%2DSCE%20Tariff%20Books%2FElectric%2FSchedules%2FGeneral%20Service%20%26%20Industrial%20Rates%2FELECTRIC%5FSCHEDULES%5FTOU%2DGS%2D2%2DRTP%2Epdf&amp;parent=%2Fteams%2FPublic%2FTM2%2FShared%20Documents%2FPublic%2FRegulatory%2FTariff%2DSCE%20Tariff%20Books%2FElectric%2FSchedules%2FGeneral%20Service%20%26%20Industrial%20Rates" TargetMode="External"/><Relationship Id="rId22" Type="http://schemas.openxmlformats.org/officeDocument/2006/relationships/hyperlink" Target="https://www.pge.com/tariffs/assets/pdf/tariffbook/ELEC_SCHEDS_B-1.pdf" TargetMode="External"/><Relationship Id="rId27" Type="http://schemas.openxmlformats.org/officeDocument/2006/relationships/hyperlink" Target="https://www.pge.com/tariffs/assets/pdf/tariffbook/ELEC_SCHEDS_B-19.pdf" TargetMode="External"/><Relationship Id="rId30" Type="http://schemas.openxmlformats.org/officeDocument/2006/relationships/hyperlink" Target="https://tariff.sdge.com/tm2/pdf/ELEC_ELEC-SCHEDS_EV-HP.pdf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pge.com/tariffs/assets/pdf/tariffbook/ELEC_SCHEDS_BEV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brary.sce.com/content/dam/sce-doclib/public/regulatory/tariff/electric/schedules/general-service-&amp;-industrial-rates/ELECTRIC_SCHEDULES_TOU-EV-8.pdf" TargetMode="External"/><Relationship Id="rId13" Type="http://schemas.openxmlformats.org/officeDocument/2006/relationships/hyperlink" Target="https://www.sdge.com/sites/default/files/sdge.pydff_-_rate_waiver_fact_sheet.pdf" TargetMode="External"/><Relationship Id="rId3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7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2" Type="http://schemas.openxmlformats.org/officeDocument/2006/relationships/hyperlink" Target="https://www.sdge.com/rates-and-regulations/current-and-effective-tariffs" TargetMode="External"/><Relationship Id="rId2" Type="http://schemas.openxmlformats.org/officeDocument/2006/relationships/hyperlink" Target="https://library.sce.com/content/dam/sce-doclib/public/regulatory/tariff/electric/schedules/general-service-&amp;-industrial-rates/ELECTRIC_SCHEDULES_GS-1.pdf" TargetMode="External"/><Relationship Id="rId1" Type="http://schemas.openxmlformats.org/officeDocument/2006/relationships/hyperlink" Target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TargetMode="External"/><Relationship Id="rId6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1" Type="http://schemas.openxmlformats.org/officeDocument/2006/relationships/hyperlink" Target="https://www.pge.com/tariffs/assets/pdf/tariffbook/ELEC_SCHEDS_BEV.pdf" TargetMode="External"/><Relationship Id="rId5" Type="http://schemas.openxmlformats.org/officeDocument/2006/relationships/hyperlink" Target="https://library.sce.com/content/dam/sce-doclib/public/regulatory/tariff/electric/schedules/general-service-&amp;-industrial-rates/ELECTRIC_SCHEDULES_TOU-GS-1-RTP.pdf" TargetMode="External"/><Relationship Id="rId10" Type="http://schemas.openxmlformats.org/officeDocument/2006/relationships/hyperlink" Target="https://www.pge.com/tariffs/assets/pdf/tariffbook/ELEC_SCHEDS_BEV.pdf" TargetMode="External"/><Relationship Id="rId4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9" Type="http://schemas.openxmlformats.org/officeDocument/2006/relationships/hyperlink" Target="https://www.pge.com/tariffs/index.page" TargetMode="Externa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zoomScale="106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M32" sqref="M32"/>
    </sheetView>
  </sheetViews>
  <sheetFormatPr baseColWidth="10" defaultRowHeight="16" x14ac:dyDescent="0.2"/>
  <cols>
    <col min="1" max="1" width="32.83203125" bestFit="1" customWidth="1"/>
    <col min="2" max="2" width="9.83203125" bestFit="1" customWidth="1"/>
    <col min="3" max="3" width="57.1640625" customWidth="1"/>
    <col min="4" max="4" width="38.83203125" customWidth="1"/>
    <col min="5" max="5" width="6.83203125" bestFit="1" customWidth="1"/>
    <col min="6" max="6" width="28.5" bestFit="1" customWidth="1"/>
    <col min="7" max="7" width="6.83203125" customWidth="1"/>
    <col min="8" max="8" width="27" customWidth="1"/>
    <col min="9" max="9" width="6.6640625" customWidth="1"/>
    <col min="12" max="12" width="1.5" customWidth="1"/>
    <col min="13" max="18" width="16.83203125" customWidth="1"/>
  </cols>
  <sheetData>
    <row r="1" spans="1:19" x14ac:dyDescent="0.2">
      <c r="A1" t="s">
        <v>0</v>
      </c>
      <c r="D1" t="s">
        <v>209</v>
      </c>
      <c r="E1" t="s">
        <v>19</v>
      </c>
      <c r="F1" t="s">
        <v>11</v>
      </c>
      <c r="G1" t="s">
        <v>19</v>
      </c>
      <c r="H1" t="s">
        <v>162</v>
      </c>
      <c r="I1" t="s">
        <v>19</v>
      </c>
      <c r="J1" s="10" t="s">
        <v>210</v>
      </c>
      <c r="K1" t="s">
        <v>19</v>
      </c>
      <c r="M1" t="s">
        <v>215</v>
      </c>
      <c r="N1" t="s">
        <v>216</v>
      </c>
      <c r="O1" t="s">
        <v>217</v>
      </c>
      <c r="P1" t="s">
        <v>218</v>
      </c>
      <c r="Q1" t="s">
        <v>219</v>
      </c>
      <c r="R1" t="s">
        <v>220</v>
      </c>
    </row>
    <row r="2" spans="1:19" x14ac:dyDescent="0.2">
      <c r="A2" t="s">
        <v>1</v>
      </c>
      <c r="C2" t="s">
        <v>12</v>
      </c>
      <c r="D2">
        <f>1/(6*$B$24/$B$26)</f>
        <v>0.3920250951735908</v>
      </c>
      <c r="E2" s="1" t="s">
        <v>188</v>
      </c>
      <c r="F2" s="23">
        <f>2/$B$24</f>
        <v>1.2427454732996135</v>
      </c>
      <c r="G2" s="1" t="s">
        <v>20</v>
      </c>
      <c r="H2" s="23">
        <f>2/$B$24</f>
        <v>1.2427454732996135</v>
      </c>
      <c r="I2" s="1" t="s">
        <v>20</v>
      </c>
      <c r="J2" s="23">
        <f>2/$B$24</f>
        <v>1.2427454732996135</v>
      </c>
      <c r="K2" s="1" t="s">
        <v>20</v>
      </c>
      <c r="L2" s="1"/>
      <c r="M2">
        <f>1/(7*$B$24/$B$26)</f>
        <v>0.33602151014879211</v>
      </c>
      <c r="N2">
        <f>1/(5.5*$B$24/$B$26)</f>
        <v>0.42766374018937192</v>
      </c>
      <c r="O2">
        <f>1/(3*$B$24/$B$26)</f>
        <v>0.7840501903471816</v>
      </c>
      <c r="P2">
        <f>1.6*$B$24</f>
        <v>2.5749440000000003</v>
      </c>
      <c r="Q2">
        <f>2*$B$24</f>
        <v>3.21868</v>
      </c>
      <c r="R2">
        <f>2.2*$B$24</f>
        <v>3.5405480000000003</v>
      </c>
    </row>
    <row r="3" spans="1:19" x14ac:dyDescent="0.2">
      <c r="A3" t="s">
        <v>2</v>
      </c>
      <c r="C3" t="s">
        <v>160</v>
      </c>
      <c r="D3">
        <f>$B$31*$B$24</f>
        <v>88.5137</v>
      </c>
      <c r="F3">
        <f>$B$31*$B$24</f>
        <v>88.5137</v>
      </c>
      <c r="G3" s="1"/>
      <c r="H3">
        <f>$B$31*$B$24</f>
        <v>88.5137</v>
      </c>
      <c r="I3" s="1"/>
      <c r="J3">
        <f>$B$31*$B$24</f>
        <v>88.5137</v>
      </c>
      <c r="M3">
        <f>$B$31*$B$24</f>
        <v>88.5137</v>
      </c>
      <c r="N3">
        <f t="shared" ref="M3:R3" si="0">$B$31*$B$24</f>
        <v>88.5137</v>
      </c>
      <c r="O3">
        <f t="shared" si="0"/>
        <v>88.5137</v>
      </c>
      <c r="P3">
        <f t="shared" si="0"/>
        <v>88.5137</v>
      </c>
      <c r="Q3">
        <f t="shared" si="0"/>
        <v>88.5137</v>
      </c>
      <c r="R3">
        <f t="shared" si="0"/>
        <v>88.5137</v>
      </c>
    </row>
    <row r="4" spans="1:19" x14ac:dyDescent="0.2">
      <c r="A4" t="s">
        <v>3</v>
      </c>
      <c r="C4" t="s">
        <v>27</v>
      </c>
      <c r="D4" s="2">
        <f>-PMT($B$28/$B$29,$B$27*$B$29,D14)</f>
        <v>43.873823791337621</v>
      </c>
      <c r="F4" s="2">
        <f>-PMT($B$28/$B$29,$B$27*$B$29,F14)</f>
        <v>60.748371403390557</v>
      </c>
      <c r="G4" s="1" t="s">
        <v>20</v>
      </c>
      <c r="H4" s="2">
        <f>-PMT($B$28/$B$29,$B$27*$B$29,H14)</f>
        <v>50.623642836158808</v>
      </c>
      <c r="I4" s="1" t="s">
        <v>20</v>
      </c>
      <c r="J4" s="2">
        <f>-PMT($B$28/$B$29,$B$27*$B$29,J14)</f>
        <v>101.24728567231762</v>
      </c>
      <c r="M4" s="2">
        <f t="shared" ref="M4:R4" si="1">-PMT($B$28/$B$29,$B$27*$B$29,M14)</f>
        <v>33.749095224105865</v>
      </c>
      <c r="N4" s="2">
        <f t="shared" si="1"/>
        <v>43.873823791337621</v>
      </c>
      <c r="O4" s="2">
        <f t="shared" si="1"/>
        <v>67.49819044821173</v>
      </c>
      <c r="P4" s="2">
        <f t="shared" si="1"/>
        <v>47.248733313748211</v>
      </c>
      <c r="Q4" s="2">
        <f t="shared" si="1"/>
        <v>60.748371403390557</v>
      </c>
      <c r="R4" s="2">
        <f t="shared" si="1"/>
        <v>101.24728567231762</v>
      </c>
      <c r="S4" s="2"/>
    </row>
    <row r="5" spans="1:19" x14ac:dyDescent="0.2">
      <c r="A5" t="s">
        <v>4</v>
      </c>
      <c r="C5" t="s">
        <v>161</v>
      </c>
      <c r="D5" s="27">
        <f>23.42</f>
        <v>23.42</v>
      </c>
      <c r="E5" s="1" t="s">
        <v>186</v>
      </c>
      <c r="F5" s="27">
        <f>23.42</f>
        <v>23.42</v>
      </c>
      <c r="G5" s="1" t="s">
        <v>186</v>
      </c>
      <c r="H5" s="27">
        <f>23.42</f>
        <v>23.42</v>
      </c>
      <c r="I5" s="1" t="s">
        <v>186</v>
      </c>
      <c r="J5" s="27">
        <f>23.42</f>
        <v>23.42</v>
      </c>
      <c r="K5" s="1" t="s">
        <v>186</v>
      </c>
      <c r="L5" s="1"/>
      <c r="M5" s="27">
        <f t="shared" ref="M5:R5" si="2">23.42</f>
        <v>23.42</v>
      </c>
      <c r="N5" s="27">
        <f t="shared" si="2"/>
        <v>23.42</v>
      </c>
      <c r="O5" s="27">
        <f t="shared" si="2"/>
        <v>23.42</v>
      </c>
      <c r="P5" s="27">
        <f t="shared" si="2"/>
        <v>23.42</v>
      </c>
      <c r="Q5" s="27">
        <f t="shared" si="2"/>
        <v>23.42</v>
      </c>
      <c r="R5" s="27">
        <f t="shared" si="2"/>
        <v>23.42</v>
      </c>
    </row>
    <row r="6" spans="1:19" x14ac:dyDescent="0.2">
      <c r="A6" t="s">
        <v>5</v>
      </c>
      <c r="C6" t="s">
        <v>13</v>
      </c>
      <c r="D6" s="29">
        <f>0.152/$B$24</f>
        <v>9.4448655970770623E-2</v>
      </c>
      <c r="E6" s="1" t="s">
        <v>196</v>
      </c>
      <c r="F6" s="29">
        <f>0.098/$B$24</f>
        <v>6.0894528191681063E-2</v>
      </c>
      <c r="G6" s="1" t="s">
        <v>196</v>
      </c>
      <c r="H6" s="29">
        <f>0.098/$B$24</f>
        <v>6.0894528191681063E-2</v>
      </c>
      <c r="I6" s="1" t="s">
        <v>196</v>
      </c>
      <c r="J6" s="29">
        <f>0.098/$B$24</f>
        <v>6.0894528191681063E-2</v>
      </c>
      <c r="K6" s="1" t="s">
        <v>196</v>
      </c>
      <c r="L6" s="1"/>
      <c r="M6" s="29">
        <f>0.075/$B$24</f>
        <v>4.6602955248735506E-2</v>
      </c>
      <c r="N6" s="29">
        <f>0.152/$B$24</f>
        <v>9.4448655970770623E-2</v>
      </c>
      <c r="O6" s="29">
        <f>0.301/$B$24</f>
        <v>0.18703319373159183</v>
      </c>
      <c r="P6" s="29">
        <f>0.06/$B$24</f>
        <v>3.7282364198988401E-2</v>
      </c>
      <c r="Q6" s="29">
        <f>0.098/$B$24</f>
        <v>6.0894528191681063E-2</v>
      </c>
      <c r="R6" s="29">
        <f>0.143/$B$24</f>
        <v>8.8856301340922358E-2</v>
      </c>
    </row>
    <row r="7" spans="1:19" x14ac:dyDescent="0.2">
      <c r="A7" t="s">
        <v>6</v>
      </c>
      <c r="C7" t="s">
        <v>14</v>
      </c>
      <c r="D7" s="31">
        <v>0</v>
      </c>
      <c r="F7" s="4">
        <f>F16*$B$30/F10</f>
        <v>1.7992918651299802E-2</v>
      </c>
      <c r="G7" s="1" t="s">
        <v>26</v>
      </c>
      <c r="H7" s="4">
        <f>H16*$B$30/H10</f>
        <v>1.7992918651299809E-2</v>
      </c>
      <c r="I7" s="1" t="s">
        <v>26</v>
      </c>
      <c r="J7" s="4">
        <f>J16*$B$30/J10</f>
        <v>1.7992918651299806E-2</v>
      </c>
      <c r="K7" s="1" t="s">
        <v>26</v>
      </c>
      <c r="L7" s="1"/>
      <c r="M7" s="31">
        <v>0</v>
      </c>
      <c r="N7" s="31">
        <v>0</v>
      </c>
      <c r="O7" s="31">
        <v>0</v>
      </c>
      <c r="P7" s="4">
        <f>P16*$B$30/P10</f>
        <v>1.4646508402137607E-2</v>
      </c>
      <c r="Q7" s="4">
        <f>Q16*$B$30/Q10</f>
        <v>1.7992918651299806E-2</v>
      </c>
      <c r="R7" s="4">
        <f>R16*$B$30/R10</f>
        <v>2.7261997956514853E-2</v>
      </c>
    </row>
    <row r="8" spans="1:19" x14ac:dyDescent="0.2">
      <c r="A8" t="s">
        <v>7</v>
      </c>
      <c r="C8" t="s">
        <v>15</v>
      </c>
      <c r="D8" s="26">
        <f>D17-D18-D19</f>
        <v>27643.8403</v>
      </c>
      <c r="F8" s="26">
        <f>F17-F18-F19</f>
        <v>25079.317662551442</v>
      </c>
      <c r="G8" s="1" t="s">
        <v>24</v>
      </c>
      <c r="H8" s="26">
        <f>H17-H18-H19</f>
        <v>26725.408197530865</v>
      </c>
      <c r="I8" s="1" t="s">
        <v>24</v>
      </c>
      <c r="J8" s="26">
        <f>J17-J18-J19</f>
        <v>26877.671572016461</v>
      </c>
      <c r="M8" s="26">
        <f t="shared" ref="M8:R8" si="3">M17-M18-M19</f>
        <v>27643.8403</v>
      </c>
      <c r="N8" s="26">
        <f t="shared" si="3"/>
        <v>27643.8403</v>
      </c>
      <c r="O8" s="26">
        <f t="shared" si="3"/>
        <v>27643.8403</v>
      </c>
      <c r="P8" s="26">
        <f t="shared" si="3"/>
        <v>25079.317662551442</v>
      </c>
      <c r="Q8" s="26">
        <f t="shared" si="3"/>
        <v>25079.317662551442</v>
      </c>
      <c r="R8" s="26">
        <f t="shared" si="3"/>
        <v>25079.317662551442</v>
      </c>
    </row>
    <row r="9" spans="1:19" x14ac:dyDescent="0.2">
      <c r="A9" t="s">
        <v>8</v>
      </c>
      <c r="C9" t="s">
        <v>16</v>
      </c>
      <c r="D9">
        <v>0</v>
      </c>
      <c r="F9">
        <v>0</v>
      </c>
      <c r="H9">
        <v>0</v>
      </c>
      <c r="J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9" x14ac:dyDescent="0.2">
      <c r="A10" t="s">
        <v>9</v>
      </c>
      <c r="C10" t="s">
        <v>17</v>
      </c>
      <c r="D10">
        <f>200*$B$26</f>
        <v>757.08199999999999</v>
      </c>
      <c r="F10">
        <f>500*$F$2*$B$24</f>
        <v>999.99999999999989</v>
      </c>
      <c r="G10" s="1" t="s">
        <v>20</v>
      </c>
      <c r="H10">
        <f>300*$F$2*$B$24</f>
        <v>600</v>
      </c>
      <c r="I10" s="1" t="s">
        <v>20</v>
      </c>
      <c r="J10">
        <v>563</v>
      </c>
      <c r="M10">
        <f>200*$B$26</f>
        <v>757.08199999999999</v>
      </c>
      <c r="N10">
        <f>200*$B$26</f>
        <v>757.08199999999999</v>
      </c>
      <c r="O10">
        <f>200*$B$26</f>
        <v>757.08199999999999</v>
      </c>
      <c r="P10">
        <v>1000</v>
      </c>
      <c r="Q10">
        <v>1000</v>
      </c>
      <c r="R10" s="28">
        <v>1000</v>
      </c>
    </row>
    <row r="11" spans="1:19" x14ac:dyDescent="0.2">
      <c r="A11" t="s">
        <v>10</v>
      </c>
      <c r="C11" t="s">
        <v>18</v>
      </c>
      <c r="D11">
        <f>D10</f>
        <v>757.08199999999999</v>
      </c>
      <c r="F11">
        <f>F10*0.7*2</f>
        <v>1399.9999999999998</v>
      </c>
      <c r="G11" s="1" t="s">
        <v>22</v>
      </c>
      <c r="H11">
        <f>H10*0.7*2</f>
        <v>840</v>
      </c>
      <c r="I11" s="1" t="s">
        <v>22</v>
      </c>
      <c r="J11">
        <v>240</v>
      </c>
      <c r="K11" s="1" t="s">
        <v>211</v>
      </c>
      <c r="L11" s="1"/>
      <c r="M11">
        <f>M10/$B$22</f>
        <v>3028.328</v>
      </c>
      <c r="N11">
        <f t="shared" ref="N11:O11" si="4">N10/$B$22</f>
        <v>3028.328</v>
      </c>
      <c r="O11">
        <f t="shared" si="4"/>
        <v>3028.328</v>
      </c>
      <c r="P11">
        <v>1400</v>
      </c>
      <c r="Q11">
        <v>1400</v>
      </c>
      <c r="R11" s="28">
        <v>1400</v>
      </c>
    </row>
    <row r="12" spans="1:19" x14ac:dyDescent="0.2">
      <c r="A12" t="s">
        <v>173</v>
      </c>
      <c r="B12">
        <f>0.9*0.95</f>
        <v>0.85499999999999998</v>
      </c>
      <c r="C12" t="s">
        <v>174</v>
      </c>
      <c r="D12">
        <v>1</v>
      </c>
      <c r="F12" s="24">
        <f>SQRT($B$12)</f>
        <v>0.92466210044534647</v>
      </c>
      <c r="G12" s="1" t="s">
        <v>164</v>
      </c>
      <c r="H12" s="24">
        <f>SQRT($B$12)</f>
        <v>0.92466210044534647</v>
      </c>
      <c r="I12" s="1" t="s">
        <v>164</v>
      </c>
      <c r="J12" s="24">
        <f>SQRT($B$12)</f>
        <v>0.92466210044534647</v>
      </c>
      <c r="M12">
        <v>1</v>
      </c>
      <c r="N12">
        <v>1</v>
      </c>
      <c r="O12">
        <v>1</v>
      </c>
      <c r="P12" s="24">
        <f>SQRT($B$12)</f>
        <v>0.92466210044534647</v>
      </c>
      <c r="Q12" s="24">
        <f>SQRT($B$12)</f>
        <v>0.92466210044534647</v>
      </c>
      <c r="R12" s="24">
        <f>SQRT($B$12)</f>
        <v>0.92466210044534647</v>
      </c>
    </row>
    <row r="13" spans="1:19" x14ac:dyDescent="0.2">
      <c r="G13" s="1"/>
      <c r="I13" s="1"/>
    </row>
    <row r="14" spans="1:19" x14ac:dyDescent="0.2">
      <c r="A14" t="s">
        <v>183</v>
      </c>
      <c r="C14" t="s">
        <v>184</v>
      </c>
      <c r="D14">
        <v>130000</v>
      </c>
      <c r="E14" s="1" t="s">
        <v>196</v>
      </c>
      <c r="F14">
        <v>180000</v>
      </c>
      <c r="G14" s="1" t="s">
        <v>20</v>
      </c>
      <c r="H14">
        <v>150000</v>
      </c>
      <c r="I14" s="1" t="s">
        <v>20</v>
      </c>
      <c r="J14">
        <v>300000</v>
      </c>
      <c r="K14" s="1" t="s">
        <v>212</v>
      </c>
      <c r="L14" s="1"/>
      <c r="M14">
        <v>100000</v>
      </c>
      <c r="N14">
        <v>130000</v>
      </c>
      <c r="O14">
        <v>200000</v>
      </c>
      <c r="P14">
        <v>140000</v>
      </c>
      <c r="Q14">
        <v>180000</v>
      </c>
      <c r="R14">
        <v>300000</v>
      </c>
    </row>
    <row r="15" spans="1:19" x14ac:dyDescent="0.2">
      <c r="A15" t="s">
        <v>199</v>
      </c>
      <c r="C15" t="s">
        <v>184</v>
      </c>
      <c r="D15" t="s">
        <v>206</v>
      </c>
      <c r="F15">
        <f>F10*$B$44</f>
        <v>131999.99999999997</v>
      </c>
      <c r="G15" s="1" t="s">
        <v>201</v>
      </c>
      <c r="H15">
        <f>H10*$B$44</f>
        <v>79200</v>
      </c>
      <c r="I15" s="1" t="s">
        <v>201</v>
      </c>
      <c r="J15">
        <f>J10*$B$44</f>
        <v>74316</v>
      </c>
      <c r="M15" t="s">
        <v>206</v>
      </c>
      <c r="N15" t="s">
        <v>206</v>
      </c>
      <c r="O15" t="s">
        <v>206</v>
      </c>
      <c r="P15">
        <f>P10*P44</f>
        <v>107450</v>
      </c>
      <c r="Q15">
        <f>Q10*Q44</f>
        <v>132000</v>
      </c>
      <c r="R15">
        <f>R10*R44</f>
        <v>200000</v>
      </c>
    </row>
    <row r="16" spans="1:19" x14ac:dyDescent="0.2">
      <c r="A16" t="s">
        <v>202</v>
      </c>
      <c r="C16" t="s">
        <v>203</v>
      </c>
      <c r="D16" t="s">
        <v>206</v>
      </c>
      <c r="F16" s="2">
        <f>-PMT($B$28/$B$29,$B$27*$B$29,F15)</f>
        <v>44.54880569581973</v>
      </c>
      <c r="G16" s="1"/>
      <c r="H16" s="2">
        <f>-PMT($B$28/$B$29,$B$27*$B$29,H15)</f>
        <v>26.72928341749185</v>
      </c>
      <c r="I16" s="1"/>
      <c r="J16" s="2">
        <f>-PMT($B$28/$B$29,$B$27*$B$29,J15)</f>
        <v>25.080977606746515</v>
      </c>
      <c r="M16" t="s">
        <v>206</v>
      </c>
      <c r="N16" t="s">
        <v>206</v>
      </c>
      <c r="O16" t="s">
        <v>206</v>
      </c>
      <c r="P16" s="2">
        <f>-PMT($B$28/$B$29,$B$27*$B$29,P15)</f>
        <v>36.263402818301756</v>
      </c>
      <c r="Q16" s="2">
        <f>-PMT($B$28/$B$29,$B$27*$B$29,Q15)</f>
        <v>44.548805695819745</v>
      </c>
      <c r="R16" s="2">
        <f>-PMT($B$28/$B$29,$B$27*$B$29,R15)</f>
        <v>67.49819044821173</v>
      </c>
    </row>
    <row r="17" spans="1:18" x14ac:dyDescent="0.2">
      <c r="A17" t="s">
        <v>182</v>
      </c>
      <c r="C17" t="s">
        <v>180</v>
      </c>
      <c r="D17" s="26">
        <f>80000*$B$25</f>
        <v>36287.360000000001</v>
      </c>
      <c r="F17" s="26">
        <f>82000*$B$25</f>
        <v>37194.544000000002</v>
      </c>
      <c r="G17" s="1" t="s">
        <v>20</v>
      </c>
      <c r="H17" s="26">
        <f>82000*$B$25</f>
        <v>37194.544000000002</v>
      </c>
      <c r="I17" s="1" t="s">
        <v>20</v>
      </c>
      <c r="J17" s="26">
        <f>82000*$B$25</f>
        <v>37194.544000000002</v>
      </c>
      <c r="K17" s="1" t="s">
        <v>20</v>
      </c>
      <c r="L17" s="1"/>
      <c r="M17" s="26">
        <f>80000*$B$25</f>
        <v>36287.360000000001</v>
      </c>
      <c r="N17" s="26">
        <f>80000*$B$25</f>
        <v>36287.360000000001</v>
      </c>
      <c r="O17" s="26">
        <f>80000*$B$25</f>
        <v>36287.360000000001</v>
      </c>
      <c r="P17" s="26">
        <f>82000*$B$25</f>
        <v>37194.544000000002</v>
      </c>
      <c r="Q17" s="26">
        <f>82000*$B$25</f>
        <v>37194.544000000002</v>
      </c>
      <c r="R17" s="26">
        <f>82000*$B$25</f>
        <v>37194.544000000002</v>
      </c>
    </row>
    <row r="18" spans="1:18" x14ac:dyDescent="0.2">
      <c r="A18" t="s">
        <v>176</v>
      </c>
      <c r="C18" t="s">
        <v>180</v>
      </c>
      <c r="D18">
        <f>$B$42</f>
        <v>8000</v>
      </c>
      <c r="E18" s="1" t="s">
        <v>205</v>
      </c>
      <c r="F18">
        <f>$B$42</f>
        <v>8000</v>
      </c>
      <c r="G18" s="1" t="s">
        <v>164</v>
      </c>
      <c r="H18">
        <f>$B$42</f>
        <v>8000</v>
      </c>
      <c r="I18" s="1" t="s">
        <v>164</v>
      </c>
      <c r="J18">
        <f>$B$42</f>
        <v>8000</v>
      </c>
      <c r="K18" s="1" t="s">
        <v>164</v>
      </c>
      <c r="L18" s="1"/>
      <c r="M18">
        <f t="shared" ref="M18:R18" si="5">$B$42</f>
        <v>8000</v>
      </c>
      <c r="N18">
        <f t="shared" si="5"/>
        <v>8000</v>
      </c>
      <c r="O18">
        <f t="shared" si="5"/>
        <v>8000</v>
      </c>
      <c r="P18">
        <f t="shared" si="5"/>
        <v>8000</v>
      </c>
      <c r="Q18">
        <f t="shared" si="5"/>
        <v>8000</v>
      </c>
      <c r="R18">
        <f t="shared" si="5"/>
        <v>8000</v>
      </c>
    </row>
    <row r="19" spans="1:18" x14ac:dyDescent="0.2">
      <c r="A19" t="s">
        <v>181</v>
      </c>
      <c r="C19" t="s">
        <v>180</v>
      </c>
      <c r="D19">
        <f>D10*$B$33</f>
        <v>643.51969999999994</v>
      </c>
      <c r="F19" s="26">
        <f>F10*1000/$B$41</f>
        <v>4115.2263374485592</v>
      </c>
      <c r="G19" s="1" t="s">
        <v>164</v>
      </c>
      <c r="H19" s="26">
        <f>H10*1000/$B$41</f>
        <v>2469.1358024691358</v>
      </c>
      <c r="I19" s="1" t="s">
        <v>164</v>
      </c>
      <c r="J19" s="26">
        <f>J10*1000/$B$41</f>
        <v>2316.8724279835392</v>
      </c>
      <c r="K19" s="1" t="s">
        <v>164</v>
      </c>
      <c r="L19" s="1"/>
      <c r="M19" s="26">
        <f>M10*$B$33</f>
        <v>643.51969999999994</v>
      </c>
      <c r="N19" s="26">
        <f>N10*$B$33</f>
        <v>643.51969999999994</v>
      </c>
      <c r="O19" s="26">
        <f>O10*$B$33</f>
        <v>643.51969999999994</v>
      </c>
      <c r="P19" s="26">
        <f>P10*1000/$B$41</f>
        <v>4115.2263374485601</v>
      </c>
      <c r="Q19" s="26">
        <f>Q10*1000/$B$41</f>
        <v>4115.2263374485601</v>
      </c>
      <c r="R19" s="26">
        <f>R10*1000/$B$41</f>
        <v>4115.2263374485601</v>
      </c>
    </row>
    <row r="20" spans="1:18" x14ac:dyDescent="0.2">
      <c r="G20" s="1"/>
    </row>
    <row r="22" spans="1:18" x14ac:dyDescent="0.2">
      <c r="A22" t="s">
        <v>158</v>
      </c>
      <c r="B22">
        <v>0.25</v>
      </c>
    </row>
    <row r="23" spans="1:18" x14ac:dyDescent="0.2">
      <c r="A23" t="s">
        <v>159</v>
      </c>
      <c r="B23">
        <v>1</v>
      </c>
    </row>
    <row r="24" spans="1:18" x14ac:dyDescent="0.2">
      <c r="A24" t="s">
        <v>21</v>
      </c>
      <c r="B24">
        <v>1.60934</v>
      </c>
    </row>
    <row r="25" spans="1:18" x14ac:dyDescent="0.2">
      <c r="A25" t="s">
        <v>23</v>
      </c>
      <c r="B25">
        <v>0.453592</v>
      </c>
    </row>
    <row r="26" spans="1:18" x14ac:dyDescent="0.2">
      <c r="A26" t="s">
        <v>195</v>
      </c>
      <c r="B26">
        <v>3.7854100000000002</v>
      </c>
    </row>
    <row r="27" spans="1:18" x14ac:dyDescent="0.2">
      <c r="A27" t="s">
        <v>194</v>
      </c>
      <c r="B27">
        <v>12</v>
      </c>
    </row>
    <row r="28" spans="1:18" x14ac:dyDescent="0.2">
      <c r="A28" t="s">
        <v>193</v>
      </c>
      <c r="B28" s="3">
        <v>7.0000000000000007E-2</v>
      </c>
      <c r="C28" s="3"/>
      <c r="D28" s="3"/>
      <c r="E28" s="3"/>
      <c r="P28" s="3"/>
      <c r="Q28" s="3"/>
      <c r="R28" s="3"/>
    </row>
    <row r="29" spans="1:18" x14ac:dyDescent="0.2">
      <c r="A29" t="s">
        <v>192</v>
      </c>
      <c r="B29">
        <v>365</v>
      </c>
    </row>
    <row r="30" spans="1:18" x14ac:dyDescent="0.2">
      <c r="A30" t="s">
        <v>200</v>
      </c>
      <c r="B30" s="3">
        <f>30%/(120000/$B$36)</f>
        <v>0.40389227882237433</v>
      </c>
      <c r="C30" s="30" t="s">
        <v>204</v>
      </c>
      <c r="D30" s="3"/>
      <c r="E30" s="3"/>
    </row>
    <row r="31" spans="1:18" x14ac:dyDescent="0.2">
      <c r="A31" t="s">
        <v>191</v>
      </c>
      <c r="B31">
        <v>55</v>
      </c>
      <c r="C31" s="1" t="s">
        <v>185</v>
      </c>
      <c r="D31" s="1" t="s">
        <v>187</v>
      </c>
    </row>
    <row r="32" spans="1:18" x14ac:dyDescent="0.2">
      <c r="A32" t="s">
        <v>278</v>
      </c>
      <c r="B32" s="25">
        <v>6.5979999999999999</v>
      </c>
      <c r="C32" s="1" t="s">
        <v>221</v>
      </c>
      <c r="D32" s="1"/>
      <c r="M32">
        <f>2.1/$B$26</f>
        <v>0.55476157140177684</v>
      </c>
      <c r="N32">
        <f>3.25/$B$26</f>
        <v>0.85855957478846412</v>
      </c>
      <c r="O32">
        <f>6.598/$B$26</f>
        <v>1.743008022909011</v>
      </c>
    </row>
    <row r="33" spans="1:18" x14ac:dyDescent="0.2">
      <c r="A33" t="s">
        <v>207</v>
      </c>
      <c r="B33">
        <v>0.85</v>
      </c>
      <c r="C33" s="1" t="s">
        <v>208</v>
      </c>
      <c r="D33" s="1"/>
    </row>
    <row r="35" spans="1:18" x14ac:dyDescent="0.2">
      <c r="A35" t="s">
        <v>163</v>
      </c>
      <c r="C35" s="1" t="s">
        <v>164</v>
      </c>
    </row>
    <row r="36" spans="1:18" x14ac:dyDescent="0.2">
      <c r="A36" t="s">
        <v>165</v>
      </c>
      <c r="B36">
        <f>260000/B24</f>
        <v>161556.91152894974</v>
      </c>
      <c r="C36">
        <v>75000</v>
      </c>
    </row>
    <row r="37" spans="1:18" x14ac:dyDescent="0.2">
      <c r="A37" t="s">
        <v>166</v>
      </c>
      <c r="B37">
        <v>300</v>
      </c>
      <c r="C37" t="s">
        <v>168</v>
      </c>
    </row>
    <row r="38" spans="1:18" x14ac:dyDescent="0.2">
      <c r="A38" t="s">
        <v>167</v>
      </c>
      <c r="B38">
        <v>8</v>
      </c>
      <c r="C38" t="s">
        <v>169</v>
      </c>
    </row>
    <row r="39" spans="1:18" x14ac:dyDescent="0.2">
      <c r="A39" t="s">
        <v>170</v>
      </c>
      <c r="B39">
        <v>14500</v>
      </c>
      <c r="C39" t="s">
        <v>171</v>
      </c>
    </row>
    <row r="40" spans="1:18" x14ac:dyDescent="0.2">
      <c r="A40" t="s">
        <v>172</v>
      </c>
      <c r="B40">
        <f>80000*B25</f>
        <v>36287.360000000001</v>
      </c>
      <c r="C40" t="s">
        <v>179</v>
      </c>
    </row>
    <row r="41" spans="1:18" x14ac:dyDescent="0.2">
      <c r="A41" t="s">
        <v>175</v>
      </c>
      <c r="B41">
        <v>243</v>
      </c>
      <c r="C41" t="s">
        <v>178</v>
      </c>
    </row>
    <row r="42" spans="1:18" x14ac:dyDescent="0.2">
      <c r="A42" t="s">
        <v>176</v>
      </c>
      <c r="B42">
        <v>8000</v>
      </c>
      <c r="C42" t="s">
        <v>177</v>
      </c>
    </row>
    <row r="44" spans="1:18" x14ac:dyDescent="0.2">
      <c r="A44" t="s">
        <v>197</v>
      </c>
      <c r="B44">
        <v>132</v>
      </c>
      <c r="C44" t="s">
        <v>198</v>
      </c>
      <c r="D44" s="1" t="s">
        <v>201</v>
      </c>
      <c r="P44">
        <f>42980/400</f>
        <v>107.45</v>
      </c>
      <c r="Q44">
        <v>132</v>
      </c>
      <c r="R44">
        <v>200</v>
      </c>
    </row>
    <row r="46" spans="1:18" x14ac:dyDescent="0.2">
      <c r="A46" t="s">
        <v>189</v>
      </c>
      <c r="B46" s="1"/>
    </row>
    <row r="47" spans="1:18" x14ac:dyDescent="0.2">
      <c r="A47" t="s">
        <v>190</v>
      </c>
      <c r="C47" s="1" t="s">
        <v>25</v>
      </c>
    </row>
    <row r="48" spans="1:18" x14ac:dyDescent="0.2">
      <c r="A48" t="s">
        <v>214</v>
      </c>
      <c r="C48" s="1" t="s">
        <v>213</v>
      </c>
    </row>
    <row r="49" spans="1:3" x14ac:dyDescent="0.2">
      <c r="A49" t="s">
        <v>280</v>
      </c>
      <c r="C49" t="s">
        <v>281</v>
      </c>
    </row>
  </sheetData>
  <hyperlinks>
    <hyperlink ref="G2" r:id="rId1" xr:uid="{00000000-0004-0000-0000-000000000000}"/>
    <hyperlink ref="G4" r:id="rId2" xr:uid="{00000000-0004-0000-0000-000002000000}"/>
    <hyperlink ref="G10" r:id="rId3" xr:uid="{00000000-0004-0000-0000-000003000000}"/>
    <hyperlink ref="G11" r:id="rId4" xr:uid="{00000000-0004-0000-0000-000004000000}"/>
    <hyperlink ref="G8" r:id="rId5" xr:uid="{00000000-0004-0000-0000-000005000000}"/>
    <hyperlink ref="G5" r:id="rId6" xr:uid="{00000000-0004-0000-0000-000006000000}"/>
    <hyperlink ref="G7" r:id="rId7" xr:uid="{00000000-0004-0000-0000-000008000000}"/>
    <hyperlink ref="I2" r:id="rId8" xr:uid="{3A0FE471-002D-C745-9393-501FD5436EAB}"/>
    <hyperlink ref="I4" r:id="rId9" xr:uid="{CBF19A0E-DDB6-FC40-BD62-19DD5EE870F2}"/>
    <hyperlink ref="I10" r:id="rId10" xr:uid="{901B4F7E-6F6E-5347-93B7-B08D1A2FC299}"/>
    <hyperlink ref="I11" r:id="rId11" xr:uid="{B31F7FBB-257B-3646-A83B-1FA2109CA591}"/>
    <hyperlink ref="I8" r:id="rId12" xr:uid="{61D40140-7496-9544-9F18-EDD60C1737A2}"/>
    <hyperlink ref="I7" r:id="rId13" xr:uid="{E4F2DEC9-87B0-A54D-95B2-9CCFA4BFDDF1}"/>
    <hyperlink ref="C35" r:id="rId14" xr:uid="{0A7003EA-9E75-AF48-932E-EDA553AB6971}"/>
    <hyperlink ref="G12" r:id="rId15" xr:uid="{CBAEA7FA-5583-4A48-9524-C2CEBF03CB81}"/>
    <hyperlink ref="I12" r:id="rId16" xr:uid="{AF664887-5D82-924A-91EF-C64611E258F2}"/>
    <hyperlink ref="G17" r:id="rId17" xr:uid="{571B20E6-5F57-0249-9CEB-58921B6C40DA}"/>
    <hyperlink ref="I17" r:id="rId18" xr:uid="{F9B031B3-87D5-3043-8460-C8506647951C}"/>
    <hyperlink ref="G18" r:id="rId19" xr:uid="{8B92E77D-B988-D947-9082-CDBC1298ABA6}"/>
    <hyperlink ref="G19" r:id="rId20" xr:uid="{A1E344C4-65A8-1541-B277-0547009DE266}"/>
    <hyperlink ref="I18" r:id="rId21" xr:uid="{CDEBA737-5B2A-6242-892E-2D9DF167380C}"/>
    <hyperlink ref="I19" r:id="rId22" xr:uid="{99596A97-96BA-394A-B433-C0A5A6EA2434}"/>
    <hyperlink ref="G14" r:id="rId23" xr:uid="{29D73550-3789-2C48-A7DA-146E7866F9BE}"/>
    <hyperlink ref="I14" r:id="rId24" xr:uid="{728CD88B-6421-A849-BC71-D032E56A681E}"/>
    <hyperlink ref="C31" r:id="rId25" xr:uid="{7F053EC9-AF4E-414B-A7F9-0DA90A3EFA76}"/>
    <hyperlink ref="D31" r:id="rId26" xr:uid="{6CB27BD8-C146-D04C-97FA-8C730A5ECC71}"/>
    <hyperlink ref="E2" r:id="rId27" xr:uid="{CE420821-4DC8-9842-8630-E7B88BB99961}"/>
    <hyperlink ref="E5" r:id="rId28" xr:uid="{B6277222-B7B4-C244-9BDD-E8EBD787993D}"/>
    <hyperlink ref="I5" r:id="rId29" xr:uid="{25A8372F-2798-AC4F-9F30-E03F5A6020F9}"/>
    <hyperlink ref="C47" r:id="rId30" xr:uid="{78A085A6-34F9-B24D-A8A6-2EB1795E114E}"/>
    <hyperlink ref="E6" r:id="rId31" xr:uid="{F977EA8E-5923-6C42-834B-1DAF9D6D647B}"/>
    <hyperlink ref="G6" r:id="rId32" xr:uid="{D4AAEB2F-D698-764F-8691-22F49BF53FBC}"/>
    <hyperlink ref="I6" r:id="rId33" xr:uid="{DB111DF4-BBA4-034D-A2C8-ABDED318841E}"/>
    <hyperlink ref="D44" r:id="rId34" location=":~:text=That's%20good%20new%20for%20Tesla,kilowatt%2Dhour%2C%20or%20kWh." xr:uid="{B9920A6B-34E6-604D-BE1E-A8134A48E297}"/>
    <hyperlink ref="G15" r:id="rId35" location=":~:text=That's%20good%20new%20for%20Tesla,kilowatt%2Dhour%2C%20or%20kWh." xr:uid="{922673D0-E0EC-7F41-AB00-95F48BC4A92C}"/>
    <hyperlink ref="I15" r:id="rId36" location=":~:text=That's%20good%20new%20for%20Tesla,kilowatt%2Dhour%2C%20or%20kWh." xr:uid="{61EDD5F2-9460-D549-9344-53CA0B2D67EA}"/>
    <hyperlink ref="C30" r:id="rId37" location=":~:text=Battery%20and%20Drive%20Unit%20Limited%20Warranty,-The%20Battery%20and&amp;text=8%20years%20or%20100%2C000%20miles,capacity%20over%20the%20warranty%20period.&amp;text=8%20years%20or%20120%2C000%20miles,capacity%20over%20the%20warranty%20period." display="https://www.tesla.com/support/vehicle-warranty#:~:text=Battery%20and%20Drive%20Unit%20Limited%20Warranty,-The%20Battery%20and&amp;text=8%20years%20or%20100%2C000%20miles,capacity%20over%20the%20warranty%20period.&amp;text=8%20years%20or%20120%2C000%20miles,capacity%20over%20the%20warranty%20period." xr:uid="{25B742F1-3BF6-C348-8700-F9ECFF52A4D3}"/>
    <hyperlink ref="E14" r:id="rId38" xr:uid="{AD99BA86-A4B7-F746-953F-97AB1B3EED53}"/>
    <hyperlink ref="E18" r:id="rId39" xr:uid="{1A5F57D9-E857-6446-BB67-90FB77C91796}"/>
    <hyperlink ref="C33" r:id="rId40" xr:uid="{38B5C98C-081F-124D-8082-72CACDE46898}"/>
    <hyperlink ref="K5" r:id="rId41" xr:uid="{6D1AF389-53E6-924E-AEA5-BCB5F6B17300}"/>
    <hyperlink ref="K6" r:id="rId42" xr:uid="{1403C16D-76A3-D745-9813-EB39D267D402}"/>
    <hyperlink ref="K17" r:id="rId43" xr:uid="{B0C421F1-6E53-684A-820C-209E0DF715C4}"/>
    <hyperlink ref="K18" r:id="rId44" xr:uid="{5E24C4F7-AA8A-C543-B410-2EE6F5CC2488}"/>
    <hyperlink ref="K19" r:id="rId45" xr:uid="{6F7F9182-003A-944D-ADB1-C5EB8DBECF0D}"/>
    <hyperlink ref="K7" r:id="rId46" xr:uid="{C96B2D14-F778-E348-A612-7F2EF61D2D0F}"/>
    <hyperlink ref="K11" r:id="rId47" xr:uid="{0D745047-39CE-514D-80ED-1DA95B6B30ED}"/>
    <hyperlink ref="K14" r:id="rId48" xr:uid="{09BDB932-11AF-F447-A3B9-DE9DD7918089}"/>
    <hyperlink ref="K2" r:id="rId49" xr:uid="{13791F39-75DA-9D46-806E-602A5D330DFD}"/>
    <hyperlink ref="C48" r:id="rId50" xr:uid="{179E9DBC-F7CF-DD47-BD19-3F8E6DD45F3E}"/>
    <hyperlink ref="C32" r:id="rId51" xr:uid="{8E9E4076-83AC-F547-936E-F6A460814CB0}"/>
  </hyperlinks>
  <pageMargins left="0.75" right="0.75" top="1" bottom="1" header="0.5" footer="0.5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6B62-D081-2A44-A32B-E5D99F3B3045}">
  <dimension ref="A1:N36"/>
  <sheetViews>
    <sheetView tabSelected="1" workbookViewId="0">
      <selection activeCell="L29" sqref="L29"/>
    </sheetView>
  </sheetViews>
  <sheetFormatPr baseColWidth="10" defaultRowHeight="16" x14ac:dyDescent="0.2"/>
  <cols>
    <col min="9" max="9" width="12.83203125" bestFit="1" customWidth="1"/>
    <col min="10" max="13" width="12.83203125" customWidth="1"/>
  </cols>
  <sheetData>
    <row r="1" spans="1:14" x14ac:dyDescent="0.2">
      <c r="A1" s="10" t="s">
        <v>229</v>
      </c>
    </row>
    <row r="2" spans="1:14" x14ac:dyDescent="0.2">
      <c r="A2" t="s">
        <v>228</v>
      </c>
      <c r="B2">
        <v>96</v>
      </c>
    </row>
    <row r="3" spans="1:14" x14ac:dyDescent="0.2">
      <c r="A3" t="s">
        <v>158</v>
      </c>
      <c r="B3">
        <v>0.25</v>
      </c>
    </row>
    <row r="4" spans="1:14" x14ac:dyDescent="0.2">
      <c r="A4" t="s">
        <v>159</v>
      </c>
      <c r="B4">
        <v>1</v>
      </c>
    </row>
    <row r="6" spans="1:14" x14ac:dyDescent="0.2">
      <c r="A6" s="10" t="s">
        <v>230</v>
      </c>
      <c r="B6" s="1" t="s">
        <v>245</v>
      </c>
    </row>
    <row r="7" spans="1:14" x14ac:dyDescent="0.2">
      <c r="A7" s="10" t="s">
        <v>222</v>
      </c>
      <c r="B7" s="10" t="s">
        <v>224</v>
      </c>
      <c r="C7" s="10" t="s">
        <v>232</v>
      </c>
      <c r="D7" s="10" t="s">
        <v>234</v>
      </c>
      <c r="E7" s="10" t="s">
        <v>235</v>
      </c>
      <c r="F7" s="10" t="s">
        <v>225</v>
      </c>
      <c r="G7" s="10" t="s">
        <v>226</v>
      </c>
      <c r="H7" s="10" t="s">
        <v>227</v>
      </c>
      <c r="I7" s="10" t="s">
        <v>231</v>
      </c>
      <c r="J7" s="10" t="s">
        <v>236</v>
      </c>
      <c r="K7" s="10" t="s">
        <v>238</v>
      </c>
      <c r="L7" s="10" t="s">
        <v>239</v>
      </c>
      <c r="M7" s="10" t="s">
        <v>30</v>
      </c>
      <c r="N7" s="10" t="s">
        <v>19</v>
      </c>
    </row>
    <row r="8" spans="1:14" x14ac:dyDescent="0.2">
      <c r="A8" t="s">
        <v>223</v>
      </c>
      <c r="B8" t="s">
        <v>246</v>
      </c>
      <c r="C8" t="s">
        <v>233</v>
      </c>
      <c r="D8">
        <v>-116.937844</v>
      </c>
      <c r="E8">
        <v>32.566047599999997</v>
      </c>
      <c r="F8">
        <f>9/$B$3</f>
        <v>36</v>
      </c>
      <c r="G8">
        <f>23/$B$3</f>
        <v>92</v>
      </c>
      <c r="H8">
        <f>0.5/$B$3</f>
        <v>2</v>
      </c>
      <c r="I8" s="32">
        <v>3100000</v>
      </c>
      <c r="J8">
        <v>4</v>
      </c>
      <c r="K8" t="s">
        <v>240</v>
      </c>
      <c r="L8" t="s">
        <v>241</v>
      </c>
      <c r="M8" t="s">
        <v>259</v>
      </c>
      <c r="N8" s="1" t="s">
        <v>237</v>
      </c>
    </row>
    <row r="9" spans="1:14" x14ac:dyDescent="0.2">
      <c r="A9" t="s">
        <v>223</v>
      </c>
      <c r="B9" t="s">
        <v>247</v>
      </c>
      <c r="C9" t="s">
        <v>242</v>
      </c>
      <c r="D9">
        <v>-117.4484212</v>
      </c>
      <c r="E9">
        <v>34.048957899999998</v>
      </c>
      <c r="F9">
        <f>0/$B$3</f>
        <v>0</v>
      </c>
      <c r="G9">
        <f>24/$B$3</f>
        <v>96</v>
      </c>
      <c r="H9">
        <f>0.5/$B$3</f>
        <v>2</v>
      </c>
      <c r="I9" s="32">
        <v>637883</v>
      </c>
      <c r="J9">
        <v>1</v>
      </c>
      <c r="K9" t="s">
        <v>243</v>
      </c>
      <c r="L9" t="s">
        <v>244</v>
      </c>
      <c r="M9" t="s">
        <v>260</v>
      </c>
      <c r="N9" s="1"/>
    </row>
    <row r="10" spans="1:14" x14ac:dyDescent="0.2">
      <c r="A10" t="s">
        <v>223</v>
      </c>
      <c r="B10" s="10" t="s">
        <v>248</v>
      </c>
      <c r="C10" t="s">
        <v>252</v>
      </c>
      <c r="D10">
        <v>-117.3012609</v>
      </c>
      <c r="E10">
        <v>33.880661000000003</v>
      </c>
      <c r="F10">
        <v>0</v>
      </c>
      <c r="G10">
        <v>96</v>
      </c>
      <c r="H10">
        <v>2</v>
      </c>
      <c r="I10" s="32">
        <v>1000000</v>
      </c>
      <c r="J10">
        <v>1</v>
      </c>
      <c r="K10" t="s">
        <v>253</v>
      </c>
      <c r="L10" t="s">
        <v>254</v>
      </c>
      <c r="M10" t="s">
        <v>260</v>
      </c>
      <c r="N10" s="1" t="s">
        <v>251</v>
      </c>
    </row>
    <row r="11" spans="1:14" x14ac:dyDescent="0.2">
      <c r="A11" t="s">
        <v>223</v>
      </c>
      <c r="B11" t="s">
        <v>249</v>
      </c>
      <c r="C11" t="s">
        <v>258</v>
      </c>
      <c r="D11">
        <v>-119.1362295</v>
      </c>
      <c r="E11">
        <v>34.217467900000003</v>
      </c>
      <c r="F11">
        <v>0</v>
      </c>
      <c r="G11">
        <v>96</v>
      </c>
      <c r="H11">
        <v>2</v>
      </c>
      <c r="I11" s="32">
        <v>2300000</v>
      </c>
      <c r="J11">
        <v>1</v>
      </c>
      <c r="K11" t="s">
        <v>257</v>
      </c>
      <c r="L11" t="s">
        <v>277</v>
      </c>
      <c r="M11" t="s">
        <v>260</v>
      </c>
      <c r="N11" s="1" t="s">
        <v>256</v>
      </c>
    </row>
    <row r="12" spans="1:14" x14ac:dyDescent="0.2">
      <c r="A12" t="s">
        <v>255</v>
      </c>
      <c r="B12" t="s">
        <v>250</v>
      </c>
      <c r="C12" t="s">
        <v>273</v>
      </c>
      <c r="D12">
        <v>-119.052499</v>
      </c>
      <c r="E12">
        <v>35.447432399999997</v>
      </c>
      <c r="F12">
        <v>0</v>
      </c>
      <c r="G12">
        <v>96</v>
      </c>
      <c r="H12">
        <v>2</v>
      </c>
      <c r="I12" s="32">
        <v>2600000</v>
      </c>
      <c r="J12">
        <v>4</v>
      </c>
      <c r="K12" t="s">
        <v>275</v>
      </c>
      <c r="L12" t="s">
        <v>276</v>
      </c>
      <c r="M12" t="s">
        <v>261</v>
      </c>
      <c r="N12" s="1" t="s">
        <v>274</v>
      </c>
    </row>
    <row r="13" spans="1:14" x14ac:dyDescent="0.2">
      <c r="I13" s="32"/>
      <c r="N13" s="1"/>
    </row>
    <row r="14" spans="1:14" x14ac:dyDescent="0.2">
      <c r="A14" t="s">
        <v>263</v>
      </c>
      <c r="B14" t="s">
        <v>264</v>
      </c>
      <c r="C14" t="s">
        <v>266</v>
      </c>
      <c r="D14">
        <v>-122.01667190000001</v>
      </c>
      <c r="E14">
        <v>37.520584300000003</v>
      </c>
      <c r="F14">
        <v>0</v>
      </c>
      <c r="G14">
        <v>96</v>
      </c>
      <c r="H14">
        <v>2</v>
      </c>
      <c r="I14" s="32">
        <v>574650</v>
      </c>
      <c r="J14">
        <v>1</v>
      </c>
      <c r="K14" t="s">
        <v>315</v>
      </c>
      <c r="L14" t="s">
        <v>316</v>
      </c>
      <c r="M14" t="s">
        <v>261</v>
      </c>
      <c r="N14" s="1" t="s">
        <v>294</v>
      </c>
    </row>
    <row r="15" spans="1:14" x14ac:dyDescent="0.2">
      <c r="A15" t="s">
        <v>263</v>
      </c>
      <c r="B15" t="s">
        <v>265</v>
      </c>
      <c r="C15" t="s">
        <v>269</v>
      </c>
      <c r="D15">
        <v>-121.576649</v>
      </c>
      <c r="E15">
        <v>38.682479000000001</v>
      </c>
      <c r="F15">
        <v>0</v>
      </c>
      <c r="G15">
        <v>96</v>
      </c>
      <c r="H15">
        <v>2</v>
      </c>
      <c r="I15" s="32">
        <v>855000</v>
      </c>
      <c r="J15">
        <v>1</v>
      </c>
      <c r="K15" t="s">
        <v>317</v>
      </c>
      <c r="L15" t="s">
        <v>318</v>
      </c>
      <c r="M15" t="s">
        <v>261</v>
      </c>
      <c r="N15" s="1" t="s">
        <v>298</v>
      </c>
    </row>
    <row r="16" spans="1:14" x14ac:dyDescent="0.2">
      <c r="A16" t="s">
        <v>263</v>
      </c>
      <c r="B16" s="10" t="s">
        <v>267</v>
      </c>
      <c r="C16" t="s">
        <v>268</v>
      </c>
      <c r="D16">
        <v>-121.16770630000001</v>
      </c>
      <c r="E16">
        <v>37.468952399999999</v>
      </c>
      <c r="F16">
        <v>0</v>
      </c>
      <c r="G16">
        <v>96</v>
      </c>
      <c r="H16">
        <v>2</v>
      </c>
      <c r="I16" s="32">
        <v>1000000</v>
      </c>
      <c r="J16">
        <v>1</v>
      </c>
      <c r="K16" t="s">
        <v>319</v>
      </c>
      <c r="L16" t="s">
        <v>327</v>
      </c>
      <c r="M16" t="s">
        <v>261</v>
      </c>
      <c r="N16" s="1" t="s">
        <v>294</v>
      </c>
    </row>
    <row r="17" spans="1:14" x14ac:dyDescent="0.2">
      <c r="A17" t="s">
        <v>255</v>
      </c>
      <c r="B17" t="s">
        <v>271</v>
      </c>
      <c r="C17" t="s">
        <v>270</v>
      </c>
      <c r="D17">
        <v>-121.25451030000001</v>
      </c>
      <c r="E17">
        <v>37.914600499999999</v>
      </c>
      <c r="F17">
        <v>0</v>
      </c>
      <c r="G17">
        <v>96</v>
      </c>
      <c r="H17">
        <v>2</v>
      </c>
      <c r="I17" s="32">
        <v>388000</v>
      </c>
      <c r="J17">
        <v>1</v>
      </c>
      <c r="K17" t="s">
        <v>328</v>
      </c>
      <c r="L17" t="s">
        <v>329</v>
      </c>
      <c r="M17" t="s">
        <v>261</v>
      </c>
      <c r="N17" s="1" t="s">
        <v>299</v>
      </c>
    </row>
    <row r="18" spans="1:14" x14ac:dyDescent="0.2">
      <c r="A18" t="s">
        <v>255</v>
      </c>
      <c r="B18" s="34" t="s">
        <v>262</v>
      </c>
      <c r="C18" t="s">
        <v>272</v>
      </c>
      <c r="D18">
        <v>-119.7675931</v>
      </c>
      <c r="E18">
        <v>36.683372300000002</v>
      </c>
      <c r="F18">
        <v>0</v>
      </c>
      <c r="G18">
        <v>96</v>
      </c>
      <c r="H18">
        <v>2</v>
      </c>
      <c r="I18" s="32">
        <v>880000</v>
      </c>
      <c r="J18">
        <v>1</v>
      </c>
      <c r="K18" t="s">
        <v>330</v>
      </c>
      <c r="L18" t="s">
        <v>331</v>
      </c>
      <c r="M18" t="s">
        <v>261</v>
      </c>
      <c r="N18" s="1" t="s">
        <v>297</v>
      </c>
    </row>
    <row r="19" spans="1:14" x14ac:dyDescent="0.2">
      <c r="I19" s="32"/>
      <c r="N19" s="1"/>
    </row>
    <row r="20" spans="1:14" x14ac:dyDescent="0.2">
      <c r="A20" t="s">
        <v>282</v>
      </c>
      <c r="B20" s="33" t="s">
        <v>300</v>
      </c>
      <c r="C20" t="s">
        <v>301</v>
      </c>
      <c r="D20">
        <v>-95.431313299999999</v>
      </c>
      <c r="E20">
        <v>29.934443900000002</v>
      </c>
      <c r="F20">
        <v>0</v>
      </c>
      <c r="G20">
        <v>96</v>
      </c>
      <c r="H20">
        <v>2</v>
      </c>
      <c r="I20" s="32">
        <v>1020000</v>
      </c>
      <c r="J20">
        <v>1</v>
      </c>
      <c r="K20" t="s">
        <v>332</v>
      </c>
      <c r="L20" t="s">
        <v>333</v>
      </c>
      <c r="M20" t="s">
        <v>285</v>
      </c>
      <c r="N20" s="1" t="s">
        <v>302</v>
      </c>
    </row>
    <row r="21" spans="1:14" x14ac:dyDescent="0.2">
      <c r="A21" t="s">
        <v>282</v>
      </c>
      <c r="B21" t="s">
        <v>303</v>
      </c>
      <c r="C21" t="s">
        <v>304</v>
      </c>
      <c r="D21">
        <v>-97.600440000000006</v>
      </c>
      <c r="E21">
        <v>30.4318031</v>
      </c>
      <c r="F21">
        <v>0</v>
      </c>
      <c r="G21">
        <v>96</v>
      </c>
      <c r="H21">
        <v>2</v>
      </c>
      <c r="I21" s="32">
        <v>820000</v>
      </c>
      <c r="J21">
        <v>1</v>
      </c>
      <c r="K21" t="s">
        <v>334</v>
      </c>
      <c r="L21" t="s">
        <v>335</v>
      </c>
      <c r="M21" s="1" t="s">
        <v>306</v>
      </c>
      <c r="N21" s="1" t="s">
        <v>305</v>
      </c>
    </row>
    <row r="22" spans="1:14" x14ac:dyDescent="0.2">
      <c r="A22" t="s">
        <v>282</v>
      </c>
      <c r="B22" s="10" t="s">
        <v>309</v>
      </c>
      <c r="C22" t="s">
        <v>310</v>
      </c>
      <c r="D22">
        <v>-98.294625999999994</v>
      </c>
      <c r="E22">
        <v>29.5980314</v>
      </c>
      <c r="F22">
        <v>0</v>
      </c>
      <c r="G22">
        <v>96</v>
      </c>
      <c r="H22">
        <v>2</v>
      </c>
      <c r="I22" s="32">
        <v>1260000</v>
      </c>
      <c r="J22">
        <v>1</v>
      </c>
      <c r="K22" t="s">
        <v>336</v>
      </c>
      <c r="L22" t="s">
        <v>337</v>
      </c>
      <c r="M22" s="1" t="s">
        <v>308</v>
      </c>
      <c r="N22" s="1" t="s">
        <v>294</v>
      </c>
    </row>
    <row r="23" spans="1:14" x14ac:dyDescent="0.2">
      <c r="A23" t="s">
        <v>282</v>
      </c>
      <c r="B23" s="34" t="s">
        <v>312</v>
      </c>
      <c r="C23" t="s">
        <v>311</v>
      </c>
      <c r="D23">
        <v>-97.3392999</v>
      </c>
      <c r="E23">
        <v>32.970935400000002</v>
      </c>
      <c r="F23">
        <v>0</v>
      </c>
      <c r="G23">
        <v>96</v>
      </c>
      <c r="H23">
        <v>2</v>
      </c>
      <c r="I23" s="32">
        <v>1100000</v>
      </c>
      <c r="J23">
        <v>1</v>
      </c>
      <c r="K23" t="s">
        <v>338</v>
      </c>
      <c r="L23" t="s">
        <v>339</v>
      </c>
      <c r="M23" s="1" t="s">
        <v>307</v>
      </c>
      <c r="N23" s="1" t="s">
        <v>294</v>
      </c>
    </row>
    <row r="24" spans="1:14" x14ac:dyDescent="0.2">
      <c r="A24" t="s">
        <v>282</v>
      </c>
      <c r="B24" t="s">
        <v>314</v>
      </c>
      <c r="C24" t="s">
        <v>313</v>
      </c>
      <c r="D24">
        <v>-96.736956800000002</v>
      </c>
      <c r="E24">
        <v>32.660366799999998</v>
      </c>
      <c r="F24">
        <v>0</v>
      </c>
      <c r="G24">
        <v>96</v>
      </c>
      <c r="H24">
        <v>2</v>
      </c>
      <c r="I24" s="32">
        <v>500000</v>
      </c>
      <c r="J24">
        <v>1</v>
      </c>
      <c r="K24" t="s">
        <v>340</v>
      </c>
      <c r="L24" t="s">
        <v>341</v>
      </c>
      <c r="M24" s="1" t="s">
        <v>307</v>
      </c>
      <c r="N24" s="1" t="s">
        <v>294</v>
      </c>
    </row>
    <row r="25" spans="1:14" x14ac:dyDescent="0.2">
      <c r="I25" s="32"/>
    </row>
    <row r="26" spans="1:14" x14ac:dyDescent="0.2">
      <c r="A26" t="s">
        <v>283</v>
      </c>
      <c r="B26" t="s">
        <v>286</v>
      </c>
      <c r="C26" t="s">
        <v>287</v>
      </c>
      <c r="D26">
        <v>-75.398194899999993</v>
      </c>
      <c r="E26">
        <v>40.124566999999999</v>
      </c>
      <c r="F26">
        <v>0</v>
      </c>
      <c r="G26">
        <v>96</v>
      </c>
      <c r="H26">
        <v>2</v>
      </c>
      <c r="I26" s="32">
        <v>200000</v>
      </c>
      <c r="J26">
        <v>1</v>
      </c>
      <c r="K26" t="s">
        <v>342</v>
      </c>
      <c r="L26" t="s">
        <v>343</v>
      </c>
      <c r="M26" s="1" t="s">
        <v>295</v>
      </c>
      <c r="N26" s="1" t="s">
        <v>294</v>
      </c>
    </row>
    <row r="27" spans="1:14" x14ac:dyDescent="0.2">
      <c r="A27" t="s">
        <v>283</v>
      </c>
      <c r="B27" s="10" t="s">
        <v>288</v>
      </c>
      <c r="C27" t="s">
        <v>289</v>
      </c>
      <c r="D27">
        <v>-74.190404299999997</v>
      </c>
      <c r="E27">
        <v>40.619214599999999</v>
      </c>
      <c r="F27">
        <v>0</v>
      </c>
      <c r="G27">
        <v>96</v>
      </c>
      <c r="H27">
        <v>2</v>
      </c>
      <c r="I27" s="32">
        <v>855000</v>
      </c>
      <c r="J27">
        <v>1</v>
      </c>
      <c r="K27" t="s">
        <v>344</v>
      </c>
      <c r="L27" t="s">
        <v>345</v>
      </c>
      <c r="M27" t="s">
        <v>296</v>
      </c>
      <c r="N27" s="1" t="s">
        <v>293</v>
      </c>
    </row>
    <row r="28" spans="1:14" x14ac:dyDescent="0.2">
      <c r="A28" t="s">
        <v>283</v>
      </c>
      <c r="B28" t="s">
        <v>290</v>
      </c>
      <c r="C28" t="s">
        <v>291</v>
      </c>
      <c r="D28">
        <v>-73.987493299999997</v>
      </c>
      <c r="E28">
        <v>40.7490211</v>
      </c>
      <c r="F28">
        <v>0</v>
      </c>
      <c r="G28">
        <v>96</v>
      </c>
      <c r="H28">
        <v>2</v>
      </c>
      <c r="I28" s="32">
        <v>50000</v>
      </c>
      <c r="J28">
        <v>1</v>
      </c>
      <c r="K28" t="s">
        <v>346</v>
      </c>
      <c r="L28" t="s">
        <v>347</v>
      </c>
      <c r="M28" t="s">
        <v>296</v>
      </c>
      <c r="N28" s="1" t="s">
        <v>292</v>
      </c>
    </row>
    <row r="29" spans="1:14" x14ac:dyDescent="0.2">
      <c r="I29" s="32"/>
      <c r="N29" s="1"/>
    </row>
    <row r="30" spans="1:14" x14ac:dyDescent="0.2">
      <c r="A30" t="s">
        <v>284</v>
      </c>
      <c r="B30" t="s">
        <v>320</v>
      </c>
      <c r="I30" s="32"/>
    </row>
    <row r="31" spans="1:14" x14ac:dyDescent="0.2">
      <c r="A31" t="s">
        <v>284</v>
      </c>
      <c r="B31" t="s">
        <v>321</v>
      </c>
      <c r="I31" s="32"/>
    </row>
    <row r="32" spans="1:14" x14ac:dyDescent="0.2">
      <c r="A32" t="s">
        <v>284</v>
      </c>
      <c r="B32" t="s">
        <v>322</v>
      </c>
      <c r="I32" s="32"/>
    </row>
    <row r="33" spans="1:9" x14ac:dyDescent="0.2">
      <c r="A33" t="s">
        <v>284</v>
      </c>
      <c r="B33" t="s">
        <v>323</v>
      </c>
      <c r="I33" s="32"/>
    </row>
    <row r="34" spans="1:9" x14ac:dyDescent="0.2">
      <c r="A34" t="s">
        <v>284</v>
      </c>
      <c r="B34" t="s">
        <v>324</v>
      </c>
      <c r="I34" s="32"/>
    </row>
    <row r="35" spans="1:9" x14ac:dyDescent="0.2">
      <c r="A35" t="s">
        <v>284</v>
      </c>
      <c r="B35" t="s">
        <v>325</v>
      </c>
    </row>
    <row r="36" spans="1:9" x14ac:dyDescent="0.2">
      <c r="A36" t="s">
        <v>284</v>
      </c>
      <c r="B36" t="s">
        <v>326</v>
      </c>
    </row>
  </sheetData>
  <hyperlinks>
    <hyperlink ref="N8" r:id="rId1" xr:uid="{E5915094-F805-6A40-867D-5FA8668AC156}"/>
    <hyperlink ref="B6" r:id="rId2" location="United_States" xr:uid="{E3B42ED9-60F5-0840-BCFC-39F38D4B6C6A}"/>
    <hyperlink ref="N10" r:id="rId3" xr:uid="{EA32A1FE-E5EE-5C4E-847A-1C2CD119E024}"/>
    <hyperlink ref="N11" r:id="rId4" location=":~:text=(City%20of%20Oxnard%20courtesy%20photo,square%2Dfoot%20Oxnard%20fulfillment%20center%E2%80%A6" xr:uid="{C7ECB61B-DA74-1447-9C52-9C1AB5084EDE}"/>
    <hyperlink ref="N12" r:id="rId5" location=":~:text=A%202.6M%20square%2Dfoot,with%20three%20full%20mezzanine%20levels." xr:uid="{D33E74A6-41E0-5042-9E4B-6FD1D24D6FE8}"/>
    <hyperlink ref="N28" r:id="rId6" xr:uid="{7A26D6FE-FDE7-4744-9571-E2BDB40369A7}"/>
    <hyperlink ref="N27" r:id="rId7" xr:uid="{27415393-3E98-EF4F-9458-E35D0DB6F9CE}"/>
    <hyperlink ref="N26" r:id="rId8" xr:uid="{8AA86711-04CB-6944-BBA4-07730288FAF1}"/>
    <hyperlink ref="N14" r:id="rId9" xr:uid="{17BEC5EB-6404-DB4A-958D-D0249C9DDDCF}"/>
    <hyperlink ref="N16" r:id="rId10" xr:uid="{31FB57EC-2002-E247-9375-EA72DB1B998F}"/>
    <hyperlink ref="M26" r:id="rId11" xr:uid="{5500C6FC-F65E-1743-AB35-68A4C6EDE665}"/>
    <hyperlink ref="N18" r:id="rId12" xr:uid="{A79A38A4-A419-1C4C-A262-4F760AAFCA66}"/>
    <hyperlink ref="N15" r:id="rId13" location=":~:text=The%20center%2C%20known%20as%20Amazon,a%20recent%20Wednesday%20afternoon%20wearing" xr:uid="{8212E5AA-FD6C-5643-AB0B-4FCF85015C48}"/>
    <hyperlink ref="N17" r:id="rId14" xr:uid="{531DA465-805B-964D-B229-06101CB5C954}"/>
    <hyperlink ref="N20" r:id="rId15" location=":~:text=HOU2%20is%20one%20of%20nine,equipment%2C%20sports%20gear%20and%20electronics." xr:uid="{B11E8DED-D74D-7D4F-8BC7-0AA4AB6DBFFE}"/>
    <hyperlink ref="N21" r:id="rId16" xr:uid="{1093E2D7-B2EF-334F-85A6-DA6F6A322FA5}"/>
    <hyperlink ref="M21" r:id="rId17" xr:uid="{B1321CB9-FE86-2C41-8456-47CB6D9E98DA}"/>
    <hyperlink ref="M23" r:id="rId18" xr:uid="{2157447B-66B0-D347-9BEE-E0DE5571D850}"/>
    <hyperlink ref="M24" r:id="rId19" xr:uid="{89403422-B711-4A40-BC7D-1A417037ADD9}"/>
    <hyperlink ref="M22" r:id="rId20" xr:uid="{60A2E66D-2313-3F42-93DC-2DDFB415E338}"/>
    <hyperlink ref="N22" r:id="rId21" xr:uid="{E2ECA7F0-8986-0146-9ED0-69CE7F531EDC}"/>
    <hyperlink ref="N23" r:id="rId22" xr:uid="{438A3DCE-71FE-F64F-A18D-A1F36F4CD387}"/>
    <hyperlink ref="N24" r:id="rId23" xr:uid="{9548E1DC-5FE2-3443-A700-1D7E3A3532B6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1007"/>
  <sheetViews>
    <sheetView topLeftCell="EB1" zoomScale="113" zoomScaleNormal="75" workbookViewId="0">
      <selection activeCell="EM19" sqref="EM19"/>
    </sheetView>
  </sheetViews>
  <sheetFormatPr baseColWidth="10" defaultRowHeight="16" x14ac:dyDescent="0.2"/>
  <cols>
    <col min="97" max="97" width="10.83203125" style="13"/>
    <col min="143" max="143" width="10.83203125" customWidth="1"/>
    <col min="144" max="144" width="10.83203125" style="13"/>
  </cols>
  <sheetData>
    <row r="1" spans="1:161" x14ac:dyDescent="0.2">
      <c r="A1" s="5" t="s">
        <v>28</v>
      </c>
      <c r="B1" s="6">
        <v>0.25</v>
      </c>
      <c r="C1" s="6"/>
      <c r="D1" s="5" t="s">
        <v>30</v>
      </c>
      <c r="E1" s="6" t="s">
        <v>31</v>
      </c>
      <c r="F1" s="6"/>
      <c r="G1" s="6"/>
      <c r="H1" s="6"/>
      <c r="I1" s="6"/>
      <c r="J1" s="6"/>
      <c r="L1" s="6"/>
      <c r="M1" s="6"/>
      <c r="N1" s="6"/>
      <c r="O1" s="6"/>
      <c r="P1" s="6" t="s">
        <v>75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R1" s="6"/>
      <c r="CS1" s="14" t="s">
        <v>30</v>
      </c>
      <c r="CT1" s="6" t="s">
        <v>61</v>
      </c>
      <c r="EN1" s="14" t="s">
        <v>30</v>
      </c>
      <c r="EO1" s="6" t="s">
        <v>68</v>
      </c>
      <c r="ER1" s="17"/>
      <c r="ES1" s="17"/>
      <c r="ET1" s="17"/>
    </row>
    <row r="2" spans="1:161" x14ac:dyDescent="0.2">
      <c r="A2" s="5" t="s">
        <v>29</v>
      </c>
      <c r="B2" s="6">
        <v>96</v>
      </c>
      <c r="C2" s="6"/>
      <c r="D2" s="5" t="s">
        <v>32</v>
      </c>
      <c r="E2" s="1" t="s">
        <v>72</v>
      </c>
      <c r="F2" s="6"/>
      <c r="G2" s="6"/>
      <c r="H2" s="6"/>
      <c r="I2" s="6"/>
      <c r="J2" s="6"/>
      <c r="L2" s="6"/>
      <c r="M2" s="6"/>
      <c r="N2" s="6"/>
      <c r="O2" s="6"/>
      <c r="P2" s="6" t="s">
        <v>76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R2" s="6"/>
      <c r="CS2" s="15" t="s">
        <v>32</v>
      </c>
      <c r="CT2" s="1" t="s">
        <v>60</v>
      </c>
      <c r="EN2" s="15" t="s">
        <v>32</v>
      </c>
      <c r="EO2" s="1" t="s">
        <v>69</v>
      </c>
      <c r="ER2" s="17"/>
      <c r="ES2" s="17"/>
      <c r="ET2" s="17"/>
    </row>
    <row r="3" spans="1:161" x14ac:dyDescent="0.2">
      <c r="A3" s="5" t="s">
        <v>83</v>
      </c>
      <c r="B3" s="6">
        <v>30.5</v>
      </c>
      <c r="C3" s="6"/>
      <c r="D3" s="5" t="s">
        <v>73</v>
      </c>
      <c r="E3" s="6" t="s">
        <v>74</v>
      </c>
      <c r="F3" s="6"/>
      <c r="G3" s="6"/>
      <c r="H3" s="6"/>
      <c r="I3" s="6"/>
      <c r="J3" s="6"/>
      <c r="L3" s="6"/>
      <c r="M3" s="6"/>
      <c r="N3" s="6"/>
      <c r="O3" s="6"/>
      <c r="P3" s="6" t="s">
        <v>82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R3" s="6"/>
      <c r="CS3" s="14" t="s">
        <v>73</v>
      </c>
      <c r="CT3" t="s">
        <v>118</v>
      </c>
      <c r="EN3" s="15" t="s">
        <v>143</v>
      </c>
      <c r="EO3" s="1" t="s">
        <v>144</v>
      </c>
      <c r="ER3" s="17"/>
      <c r="ES3" s="17"/>
      <c r="ET3" s="17"/>
    </row>
    <row r="4" spans="1:161" x14ac:dyDescent="0.2">
      <c r="C4" s="6"/>
      <c r="D4" s="7" t="s">
        <v>130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R4" s="6"/>
      <c r="CS4" s="20" t="s">
        <v>131</v>
      </c>
      <c r="EN4" s="20"/>
      <c r="ER4" s="17"/>
      <c r="ES4" s="17"/>
      <c r="ET4" s="17"/>
    </row>
    <row r="5" spans="1:161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R5" s="6"/>
      <c r="ER5" s="17"/>
      <c r="ES5" s="17"/>
      <c r="ET5" s="17"/>
    </row>
    <row r="6" spans="1:161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R6" s="6"/>
      <c r="CS6" s="16"/>
      <c r="ER6" s="17"/>
      <c r="ES6" s="17"/>
      <c r="ET6" s="17"/>
    </row>
    <row r="7" spans="1:16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7" t="s">
        <v>81</v>
      </c>
      <c r="CH7" s="7" t="s">
        <v>108</v>
      </c>
      <c r="CI7" s="6"/>
      <c r="CJ7" s="6"/>
      <c r="CL7" s="6"/>
      <c r="CM7" s="6"/>
      <c r="CN7" s="6"/>
      <c r="CO7" s="6"/>
      <c r="CR7" s="6"/>
      <c r="CS7" s="16"/>
      <c r="ER7" s="17"/>
      <c r="ES7" s="17"/>
      <c r="ET7" s="17"/>
    </row>
    <row r="8" spans="1:161" x14ac:dyDescent="0.2">
      <c r="A8" s="7" t="s">
        <v>35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1" t="s">
        <v>42</v>
      </c>
      <c r="CH8" s="6"/>
      <c r="CI8" s="6"/>
      <c r="CJ8" s="6"/>
      <c r="CK8" s="6"/>
      <c r="CN8" s="6"/>
      <c r="CO8" s="6"/>
      <c r="ER8" s="17"/>
      <c r="ES8" s="17"/>
      <c r="ET8" s="17"/>
    </row>
    <row r="9" spans="1:161" x14ac:dyDescent="0.2">
      <c r="A9" s="5" t="s">
        <v>36</v>
      </c>
      <c r="B9" s="1" t="s">
        <v>38</v>
      </c>
      <c r="C9" s="6"/>
      <c r="D9" s="6"/>
      <c r="E9" s="5" t="s">
        <v>36</v>
      </c>
      <c r="F9" s="1" t="s">
        <v>39</v>
      </c>
      <c r="G9" s="6"/>
      <c r="H9" s="6"/>
      <c r="I9" s="5" t="s">
        <v>36</v>
      </c>
      <c r="J9" s="1" t="s">
        <v>85</v>
      </c>
      <c r="K9" s="6"/>
      <c r="L9" s="6"/>
      <c r="M9" s="6"/>
      <c r="N9" s="6"/>
      <c r="O9" s="6"/>
      <c r="P9" s="6"/>
      <c r="Q9" s="6"/>
      <c r="R9" s="6"/>
      <c r="S9" s="6"/>
      <c r="T9" s="6"/>
      <c r="U9" s="5" t="s">
        <v>36</v>
      </c>
      <c r="V9" s="1" t="s">
        <v>95</v>
      </c>
      <c r="W9" s="6"/>
      <c r="X9" s="6"/>
      <c r="Y9" s="6"/>
      <c r="Z9" s="5" t="s">
        <v>36</v>
      </c>
      <c r="AA9" s="1" t="s">
        <v>96</v>
      </c>
      <c r="AB9" s="6"/>
      <c r="AC9" s="6"/>
      <c r="AD9" s="5" t="s">
        <v>36</v>
      </c>
      <c r="AE9" s="1" t="s">
        <v>97</v>
      </c>
      <c r="AF9" s="6"/>
      <c r="AG9" s="6"/>
      <c r="AH9" s="6"/>
      <c r="AI9" s="6"/>
      <c r="AJ9" s="6"/>
      <c r="AK9" s="6"/>
      <c r="AL9" s="6"/>
      <c r="AM9" s="6"/>
      <c r="AN9" s="6"/>
      <c r="AO9" s="6"/>
      <c r="AP9" s="5" t="s">
        <v>36</v>
      </c>
      <c r="AQ9" s="1" t="s">
        <v>105</v>
      </c>
      <c r="AR9" s="6"/>
      <c r="AS9" s="6"/>
      <c r="AT9" s="6"/>
      <c r="AU9" s="5" t="s">
        <v>36</v>
      </c>
      <c r="AV9" s="1" t="s">
        <v>106</v>
      </c>
      <c r="AW9" s="6"/>
      <c r="AX9" s="6"/>
      <c r="AY9" s="5" t="s">
        <v>36</v>
      </c>
      <c r="AZ9" s="1" t="s">
        <v>107</v>
      </c>
      <c r="BA9" s="6"/>
      <c r="BB9" s="6"/>
      <c r="BC9" s="6"/>
      <c r="BD9" s="6"/>
      <c r="BE9" s="6"/>
      <c r="BF9" s="6"/>
      <c r="BG9" s="6"/>
      <c r="BH9" s="6"/>
      <c r="BI9" s="6"/>
      <c r="BJ9" s="6"/>
      <c r="BK9" s="5" t="s">
        <v>36</v>
      </c>
      <c r="BL9" s="1" t="s">
        <v>110</v>
      </c>
      <c r="BM9" s="6"/>
      <c r="BN9" s="6"/>
      <c r="BO9" s="6"/>
      <c r="BP9" s="5" t="s">
        <v>36</v>
      </c>
      <c r="BQ9" s="1" t="s">
        <v>109</v>
      </c>
      <c r="BR9" s="6"/>
      <c r="BS9" s="6"/>
      <c r="BT9" s="5" t="s">
        <v>36</v>
      </c>
      <c r="BU9" s="1" t="s">
        <v>111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5" t="s">
        <v>36</v>
      </c>
      <c r="CG9" s="1" t="s">
        <v>41</v>
      </c>
      <c r="CH9" s="6"/>
      <c r="CI9" s="6"/>
      <c r="CJ9" s="5" t="s">
        <v>36</v>
      </c>
      <c r="CK9" s="9" t="s">
        <v>59</v>
      </c>
      <c r="CL9" s="6"/>
      <c r="CM9" s="6"/>
      <c r="CN9" s="5" t="s">
        <v>36</v>
      </c>
      <c r="CO9" s="9" t="s">
        <v>79</v>
      </c>
      <c r="CP9" s="6"/>
      <c r="CQ9" s="6"/>
      <c r="CR9" s="5"/>
      <c r="CS9" s="14" t="s">
        <v>36</v>
      </c>
      <c r="CT9" s="9" t="s">
        <v>62</v>
      </c>
      <c r="CU9" s="6"/>
      <c r="CX9" s="5" t="s">
        <v>36</v>
      </c>
      <c r="CY9" s="9" t="s">
        <v>67</v>
      </c>
      <c r="CZ9" s="6"/>
      <c r="DC9" s="5" t="s">
        <v>36</v>
      </c>
      <c r="DD9" s="9" t="s">
        <v>119</v>
      </c>
      <c r="DE9" s="6"/>
      <c r="DG9" s="5" t="s">
        <v>36</v>
      </c>
      <c r="DH9" s="9" t="s">
        <v>123</v>
      </c>
      <c r="DI9" s="6"/>
      <c r="DL9" s="5" t="s">
        <v>36</v>
      </c>
      <c r="DM9" s="9" t="s">
        <v>126</v>
      </c>
      <c r="DN9" s="6"/>
      <c r="DP9" s="5" t="s">
        <v>36</v>
      </c>
      <c r="DQ9" s="9" t="s">
        <v>127</v>
      </c>
      <c r="DR9" s="6"/>
      <c r="DU9" s="5" t="s">
        <v>36</v>
      </c>
      <c r="DV9" s="9" t="s">
        <v>132</v>
      </c>
      <c r="DW9" s="6"/>
      <c r="DZ9" s="5" t="s">
        <v>36</v>
      </c>
      <c r="EA9" s="9" t="s">
        <v>137</v>
      </c>
      <c r="EB9" s="6"/>
      <c r="EE9" s="5" t="s">
        <v>36</v>
      </c>
      <c r="EF9" s="9" t="s">
        <v>134</v>
      </c>
      <c r="EG9" s="6"/>
      <c r="EJ9" s="5" t="s">
        <v>36</v>
      </c>
      <c r="EK9" s="9" t="s">
        <v>139</v>
      </c>
      <c r="EL9" s="6"/>
      <c r="EN9" s="14" t="s">
        <v>36</v>
      </c>
      <c r="EO9" s="9" t="s">
        <v>141</v>
      </c>
      <c r="EP9" s="1" t="s">
        <v>142</v>
      </c>
      <c r="ER9" s="17"/>
      <c r="ES9" s="18" t="s">
        <v>36</v>
      </c>
      <c r="ET9" s="9" t="s">
        <v>150</v>
      </c>
      <c r="EU9" s="1"/>
      <c r="EX9" s="18" t="s">
        <v>36</v>
      </c>
      <c r="EY9" s="9" t="s">
        <v>156</v>
      </c>
      <c r="EZ9" s="1"/>
      <c r="FC9" s="18" t="s">
        <v>36</v>
      </c>
      <c r="FD9" s="21" t="s">
        <v>154</v>
      </c>
      <c r="FE9" s="6"/>
    </row>
    <row r="10" spans="1:161" x14ac:dyDescent="0.2">
      <c r="A10" s="5" t="s">
        <v>43</v>
      </c>
      <c r="B10" s="8">
        <v>44713</v>
      </c>
      <c r="C10" s="6"/>
      <c r="D10" s="6"/>
      <c r="E10" s="5" t="s">
        <v>43</v>
      </c>
      <c r="F10" s="8">
        <v>44713</v>
      </c>
      <c r="G10" s="6"/>
      <c r="H10" s="6"/>
      <c r="I10" s="5" t="s">
        <v>43</v>
      </c>
      <c r="J10" s="8">
        <v>44713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5" t="s">
        <v>43</v>
      </c>
      <c r="V10" s="8">
        <v>44713</v>
      </c>
      <c r="W10" s="6"/>
      <c r="X10" s="6"/>
      <c r="Y10" s="6"/>
      <c r="Z10" s="5" t="s">
        <v>43</v>
      </c>
      <c r="AA10" s="8">
        <v>44713</v>
      </c>
      <c r="AB10" s="6"/>
      <c r="AC10" s="6"/>
      <c r="AD10" s="5" t="s">
        <v>43</v>
      </c>
      <c r="AE10" s="8">
        <v>44713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5" t="s">
        <v>43</v>
      </c>
      <c r="AQ10" s="8">
        <v>44713</v>
      </c>
      <c r="AR10" s="6"/>
      <c r="AS10" s="6"/>
      <c r="AT10" s="6"/>
      <c r="AU10" s="5" t="s">
        <v>43</v>
      </c>
      <c r="AV10" s="8">
        <v>44713</v>
      </c>
      <c r="AW10" s="6"/>
      <c r="AX10" s="6"/>
      <c r="AY10" s="5" t="s">
        <v>43</v>
      </c>
      <c r="AZ10" s="8">
        <v>44713</v>
      </c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5" t="s">
        <v>43</v>
      </c>
      <c r="BL10" s="8">
        <v>44713</v>
      </c>
      <c r="BM10" s="6"/>
      <c r="BN10" s="6"/>
      <c r="BO10" s="6"/>
      <c r="BP10" s="5" t="s">
        <v>43</v>
      </c>
      <c r="BQ10" s="8">
        <v>44713</v>
      </c>
      <c r="BR10" s="6"/>
      <c r="BS10" s="6"/>
      <c r="BT10" s="5" t="s">
        <v>43</v>
      </c>
      <c r="BU10" s="8">
        <v>44713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5" t="s">
        <v>43</v>
      </c>
      <c r="CG10" s="8">
        <v>44713</v>
      </c>
      <c r="CH10" s="6"/>
      <c r="CI10" s="6"/>
      <c r="CJ10" s="5" t="s">
        <v>43</v>
      </c>
      <c r="CK10" s="8">
        <v>44713</v>
      </c>
      <c r="CL10" s="6"/>
      <c r="CM10" s="6"/>
      <c r="CN10" s="5" t="s">
        <v>43</v>
      </c>
      <c r="CO10" s="8">
        <v>44713</v>
      </c>
      <c r="CP10" s="6"/>
      <c r="CQ10" s="6"/>
      <c r="CR10" s="5"/>
      <c r="CS10" s="14" t="s">
        <v>43</v>
      </c>
      <c r="CT10" s="8">
        <v>44713</v>
      </c>
      <c r="CU10" s="6"/>
      <c r="CX10" s="5" t="s">
        <v>43</v>
      </c>
      <c r="CY10" s="8">
        <v>44713</v>
      </c>
      <c r="CZ10" s="6"/>
      <c r="DC10" s="5" t="s">
        <v>43</v>
      </c>
      <c r="DD10" s="8">
        <v>44713</v>
      </c>
      <c r="DE10" s="6"/>
      <c r="DG10" s="5" t="s">
        <v>43</v>
      </c>
      <c r="DH10" s="8">
        <v>44713</v>
      </c>
      <c r="DI10" s="6"/>
      <c r="DL10" s="5" t="s">
        <v>43</v>
      </c>
      <c r="DM10" s="8">
        <v>44713</v>
      </c>
      <c r="DN10" s="6"/>
      <c r="DP10" s="5" t="s">
        <v>43</v>
      </c>
      <c r="DQ10" s="8">
        <v>44713</v>
      </c>
      <c r="DR10" s="6"/>
      <c r="DU10" s="5" t="s">
        <v>43</v>
      </c>
      <c r="DV10" s="8">
        <v>44713</v>
      </c>
      <c r="DW10" s="6"/>
      <c r="DZ10" s="5" t="s">
        <v>43</v>
      </c>
      <c r="EA10" s="8">
        <v>44713</v>
      </c>
      <c r="EB10" s="6"/>
      <c r="EE10" s="5" t="s">
        <v>43</v>
      </c>
      <c r="EF10" s="8">
        <v>44713</v>
      </c>
      <c r="EG10" s="6"/>
      <c r="EJ10" s="5" t="s">
        <v>43</v>
      </c>
      <c r="EK10" s="8">
        <v>44713</v>
      </c>
      <c r="EL10" s="6"/>
      <c r="EN10" s="14" t="s">
        <v>43</v>
      </c>
      <c r="EO10" s="8">
        <v>44713</v>
      </c>
      <c r="EP10" s="6"/>
      <c r="ER10" s="17"/>
      <c r="ES10" s="18" t="s">
        <v>43</v>
      </c>
      <c r="ET10" s="8">
        <v>44713</v>
      </c>
      <c r="EU10" s="6"/>
      <c r="EX10" s="18" t="s">
        <v>43</v>
      </c>
      <c r="EY10" s="8">
        <v>44713</v>
      </c>
      <c r="EZ10" s="6"/>
      <c r="FC10" s="18" t="s">
        <v>43</v>
      </c>
      <c r="FD10" s="22">
        <v>44713</v>
      </c>
      <c r="FE10" s="6"/>
    </row>
    <row r="11" spans="1:161" x14ac:dyDescent="0.2">
      <c r="A11" s="5" t="s">
        <v>44</v>
      </c>
      <c r="B11" s="6" t="s">
        <v>45</v>
      </c>
      <c r="C11" s="6"/>
      <c r="D11" s="6"/>
      <c r="E11" s="5" t="s">
        <v>44</v>
      </c>
      <c r="F11" s="6" t="s">
        <v>45</v>
      </c>
      <c r="G11" s="6"/>
      <c r="H11" s="6"/>
      <c r="I11" s="5" t="s">
        <v>44</v>
      </c>
      <c r="J11" s="6" t="s">
        <v>45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5" t="s">
        <v>44</v>
      </c>
      <c r="V11" s="6" t="s">
        <v>45</v>
      </c>
      <c r="W11" s="6"/>
      <c r="X11" s="6"/>
      <c r="Y11" s="6"/>
      <c r="Z11" s="5" t="s">
        <v>44</v>
      </c>
      <c r="AA11" s="6" t="s">
        <v>45</v>
      </c>
      <c r="AB11" s="6"/>
      <c r="AC11" s="6"/>
      <c r="AD11" s="5" t="s">
        <v>44</v>
      </c>
      <c r="AE11" s="6" t="s">
        <v>45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5" t="s">
        <v>44</v>
      </c>
      <c r="AQ11" s="6" t="s">
        <v>45</v>
      </c>
      <c r="AR11" s="6"/>
      <c r="AS11" s="6"/>
      <c r="AT11" s="6"/>
      <c r="AU11" s="5" t="s">
        <v>44</v>
      </c>
      <c r="AV11" s="6" t="s">
        <v>45</v>
      </c>
      <c r="AW11" s="6"/>
      <c r="AX11" s="6"/>
      <c r="AY11" s="5" t="s">
        <v>44</v>
      </c>
      <c r="AZ11" s="6" t="s">
        <v>45</v>
      </c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5" t="s">
        <v>44</v>
      </c>
      <c r="BL11" s="6" t="s">
        <v>45</v>
      </c>
      <c r="BM11" s="6"/>
      <c r="BN11" s="6"/>
      <c r="BO11" s="6"/>
      <c r="BP11" s="5" t="s">
        <v>44</v>
      </c>
      <c r="BQ11" s="6" t="s">
        <v>45</v>
      </c>
      <c r="BR11" s="6"/>
      <c r="BS11" s="6"/>
      <c r="BT11" s="5" t="s">
        <v>44</v>
      </c>
      <c r="BU11" s="6" t="s">
        <v>45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5" t="s">
        <v>44</v>
      </c>
      <c r="CG11" s="6" t="s">
        <v>45</v>
      </c>
      <c r="CH11" s="6"/>
      <c r="CI11" s="6"/>
      <c r="CJ11" s="5" t="s">
        <v>44</v>
      </c>
      <c r="CK11" s="6" t="s">
        <v>45</v>
      </c>
      <c r="CL11" s="6"/>
      <c r="CM11" s="6"/>
      <c r="CN11" s="5" t="s">
        <v>44</v>
      </c>
      <c r="CO11" s="6" t="s">
        <v>45</v>
      </c>
      <c r="CP11" s="6"/>
      <c r="CQ11" s="6"/>
      <c r="CR11" s="5"/>
      <c r="CS11" s="14" t="s">
        <v>44</v>
      </c>
      <c r="CT11" s="6" t="s">
        <v>45</v>
      </c>
      <c r="CU11" s="6"/>
      <c r="CX11" s="5" t="s">
        <v>44</v>
      </c>
      <c r="CY11" s="6" t="s">
        <v>45</v>
      </c>
      <c r="CZ11" s="6"/>
      <c r="DC11" s="5" t="s">
        <v>44</v>
      </c>
      <c r="DD11" s="6" t="s">
        <v>45</v>
      </c>
      <c r="DE11" s="6"/>
      <c r="DG11" s="5" t="s">
        <v>44</v>
      </c>
      <c r="DH11" s="6" t="s">
        <v>45</v>
      </c>
      <c r="DI11" s="6"/>
      <c r="DL11" s="5" t="s">
        <v>44</v>
      </c>
      <c r="DM11" s="6" t="s">
        <v>45</v>
      </c>
      <c r="DN11" s="6"/>
      <c r="DP11" s="5" t="s">
        <v>44</v>
      </c>
      <c r="DQ11" s="6" t="s">
        <v>45</v>
      </c>
      <c r="DR11" s="6"/>
      <c r="DU11" s="5" t="s">
        <v>44</v>
      </c>
      <c r="DV11" s="6" t="s">
        <v>45</v>
      </c>
      <c r="DW11" s="6"/>
      <c r="DZ11" s="5" t="s">
        <v>44</v>
      </c>
      <c r="EA11" s="6" t="s">
        <v>45</v>
      </c>
      <c r="EB11" s="6"/>
      <c r="EE11" s="5" t="s">
        <v>44</v>
      </c>
      <c r="EF11" s="6" t="s">
        <v>45</v>
      </c>
      <c r="EG11" s="6"/>
      <c r="EJ11" s="5" t="s">
        <v>44</v>
      </c>
      <c r="EK11" s="6" t="s">
        <v>45</v>
      </c>
      <c r="EL11" s="6"/>
      <c r="EN11" s="14" t="s">
        <v>44</v>
      </c>
      <c r="EO11" s="6" t="s">
        <v>45</v>
      </c>
      <c r="EP11" s="6"/>
      <c r="ER11" s="17"/>
      <c r="ES11" s="18" t="s">
        <v>44</v>
      </c>
      <c r="ET11" s="6" t="s">
        <v>45</v>
      </c>
      <c r="EU11" s="6"/>
      <c r="EX11" s="18" t="s">
        <v>44</v>
      </c>
      <c r="EY11" s="6" t="s">
        <v>45</v>
      </c>
      <c r="EZ11" s="6"/>
      <c r="FC11" s="18" t="s">
        <v>44</v>
      </c>
      <c r="FD11" s="19" t="s">
        <v>45</v>
      </c>
      <c r="FE11" s="6"/>
    </row>
    <row r="12" spans="1:161" x14ac:dyDescent="0.2">
      <c r="A12" s="5" t="s">
        <v>46</v>
      </c>
      <c r="B12" s="6" t="s">
        <v>47</v>
      </c>
      <c r="C12" s="6"/>
      <c r="D12" s="6"/>
      <c r="E12" s="5" t="s">
        <v>46</v>
      </c>
      <c r="F12" s="6" t="s">
        <v>47</v>
      </c>
      <c r="G12" s="6"/>
      <c r="H12" s="6"/>
      <c r="I12" s="5" t="s">
        <v>46</v>
      </c>
      <c r="J12" s="6" t="s">
        <v>47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5" t="s">
        <v>46</v>
      </c>
      <c r="V12" s="6" t="s">
        <v>102</v>
      </c>
      <c r="W12" s="6"/>
      <c r="X12" s="6"/>
      <c r="Y12" s="6"/>
      <c r="Z12" s="5" t="s">
        <v>46</v>
      </c>
      <c r="AA12" s="6" t="s">
        <v>102</v>
      </c>
      <c r="AB12" s="6"/>
      <c r="AC12" s="6"/>
      <c r="AD12" s="5" t="s">
        <v>46</v>
      </c>
      <c r="AE12" s="6" t="s">
        <v>102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5" t="s">
        <v>46</v>
      </c>
      <c r="AQ12" s="6" t="s">
        <v>104</v>
      </c>
      <c r="AR12" s="6"/>
      <c r="AS12" s="6"/>
      <c r="AT12" s="6"/>
      <c r="AU12" s="5" t="s">
        <v>46</v>
      </c>
      <c r="AV12" s="6" t="s">
        <v>104</v>
      </c>
      <c r="AW12" s="6"/>
      <c r="AX12" s="6"/>
      <c r="AY12" s="5" t="s">
        <v>46</v>
      </c>
      <c r="AZ12" s="6" t="s">
        <v>104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5" t="s">
        <v>46</v>
      </c>
      <c r="BL12" s="6" t="s">
        <v>80</v>
      </c>
      <c r="BM12" s="6"/>
      <c r="BN12" s="6"/>
      <c r="BO12" s="6"/>
      <c r="BP12" s="5" t="s">
        <v>46</v>
      </c>
      <c r="BQ12" s="6" t="s">
        <v>80</v>
      </c>
      <c r="BR12" s="6"/>
      <c r="BS12" s="6"/>
      <c r="BT12" s="5" t="s">
        <v>46</v>
      </c>
      <c r="BU12" s="6" t="s">
        <v>80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5" t="s">
        <v>46</v>
      </c>
      <c r="CG12" s="6" t="s">
        <v>47</v>
      </c>
      <c r="CH12" s="6"/>
      <c r="CI12" s="6"/>
      <c r="CJ12" s="5" t="s">
        <v>46</v>
      </c>
      <c r="CK12" s="6" t="s">
        <v>58</v>
      </c>
      <c r="CL12" s="6"/>
      <c r="CM12" s="6"/>
      <c r="CN12" s="5" t="s">
        <v>46</v>
      </c>
      <c r="CO12" s="6" t="s">
        <v>80</v>
      </c>
      <c r="CP12" s="6"/>
      <c r="CQ12" s="6"/>
      <c r="CR12" s="5"/>
      <c r="CS12" s="14" t="s">
        <v>46</v>
      </c>
      <c r="CT12" s="6" t="s">
        <v>63</v>
      </c>
      <c r="CU12" s="6"/>
      <c r="CV12" s="17"/>
      <c r="CX12" s="18" t="s">
        <v>46</v>
      </c>
      <c r="CY12" s="6" t="s">
        <v>66</v>
      </c>
      <c r="CZ12" s="6"/>
      <c r="DC12" s="18" t="s">
        <v>46</v>
      </c>
      <c r="DD12" s="6" t="s">
        <v>120</v>
      </c>
      <c r="DE12" s="6"/>
      <c r="DG12" s="18" t="s">
        <v>46</v>
      </c>
      <c r="DH12" s="6" t="s">
        <v>120</v>
      </c>
      <c r="DI12" s="6"/>
      <c r="DL12" s="18" t="s">
        <v>46</v>
      </c>
      <c r="DM12" s="6" t="s">
        <v>120</v>
      </c>
      <c r="DN12" s="6"/>
      <c r="DP12" s="18" t="s">
        <v>46</v>
      </c>
      <c r="DQ12" s="6" t="s">
        <v>128</v>
      </c>
      <c r="DR12" s="6"/>
      <c r="DU12" s="18" t="s">
        <v>46</v>
      </c>
      <c r="DV12" s="6" t="s">
        <v>135</v>
      </c>
      <c r="DW12" s="6"/>
      <c r="DZ12" s="18" t="s">
        <v>46</v>
      </c>
      <c r="EA12" s="6" t="s">
        <v>135</v>
      </c>
      <c r="EB12" s="6"/>
      <c r="EE12" s="18" t="s">
        <v>46</v>
      </c>
      <c r="EF12" s="6" t="s">
        <v>136</v>
      </c>
      <c r="EG12" s="6"/>
      <c r="EJ12" s="18" t="s">
        <v>46</v>
      </c>
      <c r="EK12" s="6" t="s">
        <v>136</v>
      </c>
      <c r="EL12" s="6"/>
      <c r="EN12" s="14" t="s">
        <v>46</v>
      </c>
      <c r="EO12" s="6" t="s">
        <v>140</v>
      </c>
      <c r="EP12" s="6"/>
      <c r="ER12" s="17"/>
      <c r="ES12" s="18" t="s">
        <v>46</v>
      </c>
      <c r="ET12" s="6" t="s">
        <v>140</v>
      </c>
      <c r="EU12" s="6"/>
      <c r="EX12" s="18" t="s">
        <v>46</v>
      </c>
      <c r="EY12" s="6" t="s">
        <v>140</v>
      </c>
      <c r="EZ12" s="6"/>
      <c r="FC12" s="18" t="s">
        <v>46</v>
      </c>
      <c r="FD12" s="19" t="s">
        <v>151</v>
      </c>
      <c r="FE12" s="6"/>
    </row>
    <row r="13" spans="1:16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7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 t="s">
        <v>88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7" t="s">
        <v>88</v>
      </c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7" t="s">
        <v>88</v>
      </c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16"/>
      <c r="CT13" s="6"/>
      <c r="CU13" s="6"/>
      <c r="CV13" s="17"/>
      <c r="CX13" s="19"/>
      <c r="CY13" s="6"/>
      <c r="CZ13" s="6"/>
      <c r="DC13" s="19"/>
      <c r="DD13" s="6"/>
      <c r="DE13" s="6"/>
      <c r="DG13" s="19"/>
      <c r="DH13" s="6"/>
      <c r="DI13" s="6"/>
      <c r="DL13" s="19"/>
      <c r="DM13" s="6"/>
      <c r="DN13" s="6"/>
      <c r="DP13" s="19"/>
      <c r="DQ13" s="6"/>
      <c r="DR13" s="6"/>
      <c r="DU13" s="19"/>
      <c r="DV13" s="6"/>
      <c r="DW13" s="6"/>
      <c r="DZ13" s="19"/>
      <c r="EA13" s="6"/>
      <c r="EB13" s="6"/>
      <c r="EE13" s="19"/>
      <c r="EF13" s="6"/>
      <c r="EG13" s="6"/>
      <c r="EJ13" s="19"/>
      <c r="EK13" s="6"/>
      <c r="EL13" s="6"/>
      <c r="EN13" s="16"/>
      <c r="EO13" s="6"/>
      <c r="EP13" s="6"/>
      <c r="ER13" s="17"/>
      <c r="ES13" s="19"/>
      <c r="ET13" s="6"/>
      <c r="EU13" s="6"/>
      <c r="EX13" s="19"/>
      <c r="EY13" s="6"/>
      <c r="EZ13" s="6"/>
      <c r="FC13" s="19"/>
      <c r="FD13" s="19"/>
      <c r="FE13" s="6"/>
    </row>
    <row r="14" spans="1:161" x14ac:dyDescent="0.2">
      <c r="A14" s="5" t="s">
        <v>48</v>
      </c>
      <c r="B14" s="5" t="s">
        <v>49</v>
      </c>
      <c r="C14" s="5" t="s">
        <v>51</v>
      </c>
      <c r="D14" s="6"/>
      <c r="E14" s="5" t="s">
        <v>48</v>
      </c>
      <c r="F14" s="5" t="s">
        <v>49</v>
      </c>
      <c r="G14" s="5" t="s">
        <v>51</v>
      </c>
      <c r="H14" s="6"/>
      <c r="I14" s="5" t="s">
        <v>48</v>
      </c>
      <c r="J14" s="5" t="s">
        <v>49</v>
      </c>
      <c r="K14" s="5" t="s">
        <v>86</v>
      </c>
      <c r="L14" s="5" t="s">
        <v>87</v>
      </c>
      <c r="M14" s="5" t="s">
        <v>52</v>
      </c>
      <c r="N14" s="5" t="s">
        <v>112</v>
      </c>
      <c r="O14" s="5" t="s">
        <v>89</v>
      </c>
      <c r="P14" s="5" t="s">
        <v>90</v>
      </c>
      <c r="Q14" s="5" t="s">
        <v>91</v>
      </c>
      <c r="R14" s="5" t="s">
        <v>92</v>
      </c>
      <c r="S14" s="5" t="s">
        <v>93</v>
      </c>
      <c r="T14" s="5"/>
      <c r="U14" s="5" t="s">
        <v>48</v>
      </c>
      <c r="V14" s="5" t="s">
        <v>49</v>
      </c>
      <c r="W14" s="5" t="s">
        <v>51</v>
      </c>
      <c r="X14" s="6"/>
      <c r="Y14" s="6"/>
      <c r="Z14" s="5" t="s">
        <v>48</v>
      </c>
      <c r="AA14" s="5" t="s">
        <v>49</v>
      </c>
      <c r="AB14" s="5" t="s">
        <v>51</v>
      </c>
      <c r="AC14" s="6"/>
      <c r="AD14" s="5" t="s">
        <v>48</v>
      </c>
      <c r="AE14" s="5" t="s">
        <v>49</v>
      </c>
      <c r="AF14" s="5" t="s">
        <v>86</v>
      </c>
      <c r="AG14" s="5" t="s">
        <v>87</v>
      </c>
      <c r="AH14" s="5" t="s">
        <v>52</v>
      </c>
      <c r="AI14" s="5" t="s">
        <v>112</v>
      </c>
      <c r="AJ14" s="5" t="s">
        <v>89</v>
      </c>
      <c r="AK14" s="5" t="s">
        <v>90</v>
      </c>
      <c r="AL14" s="5" t="s">
        <v>91</v>
      </c>
      <c r="AM14" s="5" t="s">
        <v>92</v>
      </c>
      <c r="AN14" s="5" t="s">
        <v>93</v>
      </c>
      <c r="AO14" s="6"/>
      <c r="AP14" s="5" t="s">
        <v>48</v>
      </c>
      <c r="AQ14" s="5" t="s">
        <v>49</v>
      </c>
      <c r="AR14" s="5" t="s">
        <v>51</v>
      </c>
      <c r="AS14" s="6"/>
      <c r="AT14" s="6"/>
      <c r="AU14" s="5" t="s">
        <v>48</v>
      </c>
      <c r="AV14" s="5" t="s">
        <v>49</v>
      </c>
      <c r="AW14" s="5" t="s">
        <v>51</v>
      </c>
      <c r="AX14" s="6"/>
      <c r="AY14" s="5" t="s">
        <v>48</v>
      </c>
      <c r="AZ14" s="5" t="s">
        <v>49</v>
      </c>
      <c r="BA14" s="5" t="s">
        <v>86</v>
      </c>
      <c r="BB14" s="5" t="s">
        <v>87</v>
      </c>
      <c r="BC14" s="5" t="s">
        <v>52</v>
      </c>
      <c r="BD14" s="5" t="s">
        <v>112</v>
      </c>
      <c r="BE14" s="5" t="s">
        <v>89</v>
      </c>
      <c r="BF14" s="5" t="s">
        <v>90</v>
      </c>
      <c r="BG14" s="5" t="s">
        <v>91</v>
      </c>
      <c r="BH14" s="5" t="s">
        <v>92</v>
      </c>
      <c r="BI14" s="5" t="s">
        <v>93</v>
      </c>
      <c r="BJ14" s="6"/>
      <c r="BK14" s="5" t="s">
        <v>48</v>
      </c>
      <c r="BL14" s="5" t="s">
        <v>49</v>
      </c>
      <c r="BM14" s="5" t="s">
        <v>51</v>
      </c>
      <c r="BN14" s="6"/>
      <c r="BO14" s="6"/>
      <c r="BP14" s="5" t="s">
        <v>48</v>
      </c>
      <c r="BQ14" s="5" t="s">
        <v>49</v>
      </c>
      <c r="BR14" s="5" t="s">
        <v>51</v>
      </c>
      <c r="BS14" s="6"/>
      <c r="BT14" s="5" t="s">
        <v>48</v>
      </c>
      <c r="BU14" s="5" t="s">
        <v>49</v>
      </c>
      <c r="BV14" s="5" t="s">
        <v>86</v>
      </c>
      <c r="BW14" s="5" t="s">
        <v>87</v>
      </c>
      <c r="BX14" s="5" t="s">
        <v>52</v>
      </c>
      <c r="BY14" s="5" t="s">
        <v>112</v>
      </c>
      <c r="BZ14" s="5" t="s">
        <v>89</v>
      </c>
      <c r="CA14" s="5" t="s">
        <v>90</v>
      </c>
      <c r="CB14" s="5" t="s">
        <v>91</v>
      </c>
      <c r="CC14" s="5" t="s">
        <v>92</v>
      </c>
      <c r="CD14" s="5" t="s">
        <v>93</v>
      </c>
      <c r="CE14" s="5"/>
      <c r="CF14" s="5" t="s">
        <v>48</v>
      </c>
      <c r="CG14" s="5" t="s">
        <v>49</v>
      </c>
      <c r="CH14" s="5" t="s">
        <v>51</v>
      </c>
      <c r="CI14" s="6"/>
      <c r="CJ14" s="5" t="s">
        <v>48</v>
      </c>
      <c r="CK14" s="5" t="s">
        <v>49</v>
      </c>
      <c r="CL14" s="5" t="s">
        <v>51</v>
      </c>
      <c r="CM14" s="6"/>
      <c r="CN14" s="5" t="s">
        <v>48</v>
      </c>
      <c r="CO14" s="5" t="s">
        <v>49</v>
      </c>
      <c r="CP14" s="5" t="s">
        <v>51</v>
      </c>
      <c r="CQ14" s="6"/>
      <c r="CR14" s="5"/>
      <c r="CS14" s="14" t="s">
        <v>48</v>
      </c>
      <c r="CT14" s="5" t="s">
        <v>49</v>
      </c>
      <c r="CU14" s="5" t="s">
        <v>64</v>
      </c>
      <c r="CV14" s="17"/>
      <c r="CX14" s="18" t="s">
        <v>48</v>
      </c>
      <c r="CY14" s="5" t="s">
        <v>49</v>
      </c>
      <c r="CZ14" s="5" t="s">
        <v>64</v>
      </c>
      <c r="DC14" s="18" t="s">
        <v>48</v>
      </c>
      <c r="DD14" s="5" t="s">
        <v>49</v>
      </c>
      <c r="DE14" s="5" t="s">
        <v>50</v>
      </c>
      <c r="DG14" s="18" t="s">
        <v>48</v>
      </c>
      <c r="DH14" s="5" t="s">
        <v>49</v>
      </c>
      <c r="DI14" s="5" t="s">
        <v>50</v>
      </c>
      <c r="DL14" s="18" t="s">
        <v>48</v>
      </c>
      <c r="DM14" s="5" t="s">
        <v>49</v>
      </c>
      <c r="DN14" s="5" t="s">
        <v>50</v>
      </c>
      <c r="DP14" s="18" t="s">
        <v>48</v>
      </c>
      <c r="DQ14" s="5" t="s">
        <v>49</v>
      </c>
      <c r="DR14" s="5" t="s">
        <v>50</v>
      </c>
      <c r="DU14" s="18" t="s">
        <v>48</v>
      </c>
      <c r="DV14" s="5" t="s">
        <v>49</v>
      </c>
      <c r="DW14" s="5" t="s">
        <v>50</v>
      </c>
      <c r="DZ14" s="18" t="s">
        <v>48</v>
      </c>
      <c r="EA14" s="5" t="s">
        <v>49</v>
      </c>
      <c r="EB14" s="5" t="s">
        <v>50</v>
      </c>
      <c r="EE14" s="18" t="s">
        <v>48</v>
      </c>
      <c r="EF14" s="5" t="s">
        <v>49</v>
      </c>
      <c r="EG14" s="5" t="s">
        <v>50</v>
      </c>
      <c r="EJ14" s="18" t="s">
        <v>48</v>
      </c>
      <c r="EK14" s="5" t="s">
        <v>49</v>
      </c>
      <c r="EL14" s="5" t="s">
        <v>50</v>
      </c>
      <c r="EN14" s="14" t="s">
        <v>48</v>
      </c>
      <c r="EO14" s="5" t="s">
        <v>49</v>
      </c>
      <c r="EP14" s="5" t="s">
        <v>51</v>
      </c>
      <c r="ER14" s="17"/>
      <c r="ES14" s="18" t="s">
        <v>48</v>
      </c>
      <c r="ET14" s="5" t="s">
        <v>49</v>
      </c>
      <c r="EU14" s="5" t="s">
        <v>51</v>
      </c>
      <c r="EX14" s="18" t="s">
        <v>48</v>
      </c>
      <c r="EY14" s="5" t="s">
        <v>49</v>
      </c>
      <c r="EZ14" s="5" t="s">
        <v>51</v>
      </c>
      <c r="FC14" s="18" t="s">
        <v>48</v>
      </c>
      <c r="FD14" s="18" t="s">
        <v>49</v>
      </c>
      <c r="FE14" s="5" t="s">
        <v>51</v>
      </c>
    </row>
    <row r="15" spans="1:161" x14ac:dyDescent="0.2">
      <c r="A15" s="6">
        <v>0</v>
      </c>
      <c r="B15" s="6">
        <v>0</v>
      </c>
      <c r="C15" s="6">
        <f>0.11979+0.09496</f>
        <v>0.21475</v>
      </c>
      <c r="D15" s="6"/>
      <c r="E15" s="6">
        <v>0</v>
      </c>
      <c r="F15" s="6">
        <v>0</v>
      </c>
      <c r="G15" s="6">
        <f>0.04699+0.0664</f>
        <v>0.11338999999999999</v>
      </c>
      <c r="H15" s="6"/>
      <c r="I15" s="6">
        <v>0</v>
      </c>
      <c r="J15" s="6">
        <f t="shared" ref="J15:J38" si="0">I15/ts</f>
        <v>0</v>
      </c>
      <c r="K15" s="6">
        <f>0.04699</f>
        <v>4.6989999999999997E-2</v>
      </c>
      <c r="L15" s="6">
        <f>0.04699</f>
        <v>4.6989999999999997E-2</v>
      </c>
      <c r="M15" s="6">
        <v>8.2449999999999996E-2</v>
      </c>
      <c r="N15" s="6">
        <v>8.3409999999999998E-2</v>
      </c>
      <c r="O15" s="6">
        <v>7.9430000000000001E-2</v>
      </c>
      <c r="P15" s="6">
        <v>8.4690000000000001E-2</v>
      </c>
      <c r="Q15" s="6">
        <v>8.029E-2</v>
      </c>
      <c r="R15" s="6">
        <v>8.1320000000000003E-2</v>
      </c>
      <c r="S15" s="6">
        <v>8.1390000000000004E-2</v>
      </c>
      <c r="T15" s="6"/>
      <c r="U15" s="6">
        <v>0</v>
      </c>
      <c r="V15" s="6">
        <v>0</v>
      </c>
      <c r="W15" s="6">
        <f>0.10633+0.06525</f>
        <v>0.17158000000000001</v>
      </c>
      <c r="X15" s="6"/>
      <c r="Y15" s="6"/>
      <c r="Z15" s="6">
        <v>0</v>
      </c>
      <c r="AA15" s="6">
        <v>0</v>
      </c>
      <c r="AB15" s="6">
        <f>0.04605+0.06525</f>
        <v>0.11130000000000001</v>
      </c>
      <c r="AC15" s="6"/>
      <c r="AD15" s="6">
        <v>0</v>
      </c>
      <c r="AE15" s="6">
        <f t="shared" ref="AE15:AE38" si="1">AD15/ts</f>
        <v>0</v>
      </c>
      <c r="AF15" s="6">
        <f>0.04605</f>
        <v>4.6050000000000001E-2</v>
      </c>
      <c r="AG15" s="6">
        <f>0.04605</f>
        <v>4.6050000000000001E-2</v>
      </c>
      <c r="AH15" s="6">
        <v>7.8140000000000001E-2</v>
      </c>
      <c r="AI15" s="6">
        <v>7.9060000000000005E-2</v>
      </c>
      <c r="AJ15" s="6">
        <v>7.528E-2</v>
      </c>
      <c r="AK15" s="6">
        <v>8.0269999999999994E-2</v>
      </c>
      <c r="AL15" s="6">
        <v>7.6090000000000005E-2</v>
      </c>
      <c r="AM15" s="6">
        <v>7.707E-2</v>
      </c>
      <c r="AN15" s="6">
        <v>7.714E-2</v>
      </c>
      <c r="AO15" s="6"/>
      <c r="AP15" s="6">
        <v>0</v>
      </c>
      <c r="AQ15" s="6">
        <v>0</v>
      </c>
      <c r="AR15" s="6">
        <f>0.09674+0.0612</f>
        <v>0.15794</v>
      </c>
      <c r="AS15" s="6"/>
      <c r="AT15" s="6"/>
      <c r="AU15" s="6">
        <v>0</v>
      </c>
      <c r="AV15" s="6">
        <v>0</v>
      </c>
      <c r="AW15" s="6">
        <f>0.04277+0.0612</f>
        <v>0.10397000000000001</v>
      </c>
      <c r="AX15" s="6"/>
      <c r="AY15" s="6">
        <v>0</v>
      </c>
      <c r="AZ15" s="6">
        <f t="shared" ref="AZ15:AZ38" si="2">AY15/ts</f>
        <v>0</v>
      </c>
      <c r="BA15" s="6">
        <v>4.2770000000000002E-2</v>
      </c>
      <c r="BB15" s="6">
        <v>4.2770000000000002E-2</v>
      </c>
      <c r="BC15" s="6">
        <v>7.2900000000000006E-2</v>
      </c>
      <c r="BD15" s="6">
        <v>7.3760000000000006E-2</v>
      </c>
      <c r="BE15" s="6">
        <v>7.0239999999999997E-2</v>
      </c>
      <c r="BF15" s="6">
        <v>7.4889999999999998E-2</v>
      </c>
      <c r="BG15" s="6">
        <v>7.0989999999999998E-2</v>
      </c>
      <c r="BH15" s="6">
        <v>7.1910000000000002E-2</v>
      </c>
      <c r="BI15" s="6">
        <v>7.1970000000000006E-2</v>
      </c>
      <c r="BJ15" s="6"/>
      <c r="BK15" s="6">
        <v>0</v>
      </c>
      <c r="BL15" s="6">
        <v>0</v>
      </c>
      <c r="BM15" s="6">
        <f>0.04025+0.05516</f>
        <v>9.5409999999999995E-2</v>
      </c>
      <c r="BN15" s="6"/>
      <c r="BO15" s="6"/>
      <c r="BP15" s="6">
        <v>0</v>
      </c>
      <c r="BQ15" s="6">
        <v>0</v>
      </c>
      <c r="BR15" s="6">
        <f>0.08809+0.05516</f>
        <v>0.14324999999999999</v>
      </c>
      <c r="BS15" s="6"/>
      <c r="BT15" s="6">
        <v>0</v>
      </c>
      <c r="BU15" s="6">
        <f t="shared" ref="BU15:BU38" si="3">BT15/ts</f>
        <v>0</v>
      </c>
      <c r="BV15" s="6">
        <v>4.0250000000000001E-2</v>
      </c>
      <c r="BW15" s="6">
        <v>4.0250000000000001E-2</v>
      </c>
      <c r="BX15" s="12">
        <v>6.762E-2</v>
      </c>
      <c r="BY15" s="6">
        <v>6.8409999999999999E-2</v>
      </c>
      <c r="BZ15" s="6">
        <v>6.515E-2</v>
      </c>
      <c r="CA15" s="6">
        <v>6.9459999999999994E-2</v>
      </c>
      <c r="CB15" s="6">
        <v>6.5850000000000006E-2</v>
      </c>
      <c r="CC15" s="6">
        <v>6.6699999999999995E-2</v>
      </c>
      <c r="CD15" s="6">
        <v>6.6750000000000004E-2</v>
      </c>
      <c r="CE15" s="6">
        <f>BW15+CB15</f>
        <v>0.1061</v>
      </c>
      <c r="CF15" s="6">
        <v>0</v>
      </c>
      <c r="CG15" s="6">
        <f>CF15/ts</f>
        <v>0</v>
      </c>
      <c r="CH15" s="6">
        <f>0.09451+0.10587</f>
        <v>0.20038</v>
      </c>
      <c r="CI15" s="6"/>
      <c r="CJ15" s="6">
        <v>0</v>
      </c>
      <c r="CK15" s="6">
        <f>CJ15/ts</f>
        <v>0</v>
      </c>
      <c r="CL15" s="6">
        <f>0.09596+0.07992</f>
        <v>0.17588000000000001</v>
      </c>
      <c r="CM15" s="6"/>
      <c r="CN15" s="6">
        <v>0</v>
      </c>
      <c r="CO15" s="6">
        <f>CN15/ts</f>
        <v>0</v>
      </c>
      <c r="CP15" s="6">
        <f>0.07922+0.06719</f>
        <v>0.14640999999999998</v>
      </c>
      <c r="CQ15" s="6"/>
      <c r="CR15" s="6"/>
      <c r="CS15" s="16">
        <v>0</v>
      </c>
      <c r="CT15" s="6">
        <f>CS15/$B$1</f>
        <v>0</v>
      </c>
      <c r="CU15" s="6">
        <v>0.17518</v>
      </c>
      <c r="CV15" s="17"/>
      <c r="CX15" s="19">
        <v>0</v>
      </c>
      <c r="CY15" s="6">
        <f>CX15/$B$1</f>
        <v>0</v>
      </c>
      <c r="CZ15" s="6">
        <v>0.16824</v>
      </c>
      <c r="DC15" s="19">
        <v>0</v>
      </c>
      <c r="DD15" s="6">
        <f>DC15/$B$1</f>
        <v>0</v>
      </c>
      <c r="DE15" s="6">
        <v>0.31824000000000002</v>
      </c>
      <c r="DG15" s="19">
        <v>0</v>
      </c>
      <c r="DH15" s="6">
        <f>DG15/$B$1</f>
        <v>0</v>
      </c>
      <c r="DI15" s="6">
        <v>0.26021</v>
      </c>
      <c r="DL15" s="19">
        <v>0</v>
      </c>
      <c r="DM15" s="6">
        <f>DL15/$B$1</f>
        <v>0</v>
      </c>
      <c r="DN15" s="6">
        <v>0.29966999999999999</v>
      </c>
      <c r="DP15" s="19">
        <v>0</v>
      </c>
      <c r="DQ15" s="6">
        <f>DP15/$B$1</f>
        <v>0</v>
      </c>
      <c r="DR15" s="6">
        <v>0.21984999999999999</v>
      </c>
      <c r="DU15" s="19">
        <v>0</v>
      </c>
      <c r="DV15" s="6">
        <f>DU15/$B$1</f>
        <v>0</v>
      </c>
      <c r="DW15" s="6">
        <v>0.13245999999999999</v>
      </c>
      <c r="DZ15" s="19">
        <v>0</v>
      </c>
      <c r="EA15" s="6">
        <f>DZ15/$B$1</f>
        <v>0</v>
      </c>
      <c r="EB15" s="6">
        <v>0.16511999999999999</v>
      </c>
      <c r="EE15" s="19">
        <v>0</v>
      </c>
      <c r="EF15" s="6">
        <f>EE15/$B$1</f>
        <v>0</v>
      </c>
      <c r="EG15" s="6">
        <v>0.12692999999999999</v>
      </c>
      <c r="EJ15" s="19">
        <v>0</v>
      </c>
      <c r="EK15" s="6">
        <f>EJ15/$B$1</f>
        <v>0</v>
      </c>
      <c r="EL15" s="6">
        <v>0.14482</v>
      </c>
      <c r="EN15" s="16">
        <v>0</v>
      </c>
      <c r="EO15" s="6">
        <f>EN15/$B$1</f>
        <v>0</v>
      </c>
      <c r="EP15" s="6">
        <v>0.10635</v>
      </c>
      <c r="ER15" s="17"/>
      <c r="ES15" s="19">
        <v>0</v>
      </c>
      <c r="ET15" s="6">
        <f>ES15/$B$1</f>
        <v>0</v>
      </c>
      <c r="EU15" s="6">
        <v>0.11038000000000001</v>
      </c>
      <c r="EX15" s="19">
        <v>0</v>
      </c>
      <c r="EY15" s="6">
        <f>EX15/$B$1</f>
        <v>0</v>
      </c>
      <c r="EZ15" s="6">
        <v>0.10097</v>
      </c>
      <c r="FC15" s="19">
        <v>0</v>
      </c>
      <c r="FD15" s="19">
        <f>FC15/$B$1</f>
        <v>0</v>
      </c>
      <c r="FE15" s="6">
        <f>0.12729+0.06544</f>
        <v>0.19272999999999998</v>
      </c>
    </row>
    <row r="16" spans="1:161" x14ac:dyDescent="0.2">
      <c r="A16" s="6">
        <v>16</v>
      </c>
      <c r="B16" s="6">
        <v>64</v>
      </c>
      <c r="C16" s="6">
        <f>0.18194+0.37528</f>
        <v>0.55722000000000005</v>
      </c>
      <c r="D16" s="6"/>
      <c r="E16" s="6">
        <v>16</v>
      </c>
      <c r="F16" s="6">
        <v>64</v>
      </c>
      <c r="G16" s="6">
        <f>0.08218+0.11278</f>
        <v>0.19496000000000002</v>
      </c>
      <c r="H16" s="6"/>
      <c r="I16" s="6">
        <v>1</v>
      </c>
      <c r="J16" s="6">
        <f t="shared" si="0"/>
        <v>4</v>
      </c>
      <c r="K16" s="6">
        <f t="shared" ref="K16:L30" si="4">0.04699</f>
        <v>4.6989999999999997E-2</v>
      </c>
      <c r="L16" s="6">
        <f t="shared" si="4"/>
        <v>4.6989999999999997E-2</v>
      </c>
      <c r="M16" s="6">
        <v>7.9960000000000003E-2</v>
      </c>
      <c r="N16" s="6">
        <v>8.0439999999999998E-2</v>
      </c>
      <c r="O16" s="6">
        <v>7.7469999999999997E-2</v>
      </c>
      <c r="P16" s="6">
        <v>8.405E-2</v>
      </c>
      <c r="Q16" s="6">
        <v>7.8899999999999998E-2</v>
      </c>
      <c r="R16" s="6">
        <v>7.9920000000000005E-2</v>
      </c>
      <c r="S16" s="6">
        <v>7.9920000000000005E-2</v>
      </c>
      <c r="T16" s="6"/>
      <c r="U16" s="6">
        <v>16</v>
      </c>
      <c r="V16" s="6">
        <v>64</v>
      </c>
      <c r="W16" s="6">
        <f>0.25235+0.42201</f>
        <v>0.67436000000000007</v>
      </c>
      <c r="X16" s="6"/>
      <c r="Y16" s="6"/>
      <c r="Z16" s="6">
        <v>16</v>
      </c>
      <c r="AA16" s="6">
        <v>64</v>
      </c>
      <c r="AB16" s="6">
        <f>0.04605+0.1116</f>
        <v>0.15765000000000001</v>
      </c>
      <c r="AC16" s="6"/>
      <c r="AD16" s="6">
        <v>1</v>
      </c>
      <c r="AE16" s="6">
        <f t="shared" si="1"/>
        <v>4</v>
      </c>
      <c r="AF16" s="6">
        <f t="shared" ref="AF16:AG38" si="5">0.04605</f>
        <v>4.6050000000000001E-2</v>
      </c>
      <c r="AG16" s="6">
        <f t="shared" si="5"/>
        <v>4.6050000000000001E-2</v>
      </c>
      <c r="AH16" s="6">
        <v>7.578E-2</v>
      </c>
      <c r="AI16" s="6">
        <v>7.6240000000000002E-2</v>
      </c>
      <c r="AJ16" s="6">
        <v>7.3419999999999999E-2</v>
      </c>
      <c r="AK16" s="6">
        <v>7.9659999999999995E-2</v>
      </c>
      <c r="AL16" s="6">
        <v>7.4779999999999999E-2</v>
      </c>
      <c r="AM16" s="6">
        <v>7.5740000000000002E-2</v>
      </c>
      <c r="AN16" s="6">
        <v>7.5740000000000002E-2</v>
      </c>
      <c r="AO16" s="6"/>
      <c r="AP16" s="6">
        <v>16</v>
      </c>
      <c r="AQ16" s="6">
        <v>64</v>
      </c>
      <c r="AR16" s="6">
        <f>0.23834+0.37031</f>
        <v>0.60864999999999991</v>
      </c>
      <c r="AS16" s="6"/>
      <c r="AT16" s="6"/>
      <c r="AU16" s="6">
        <v>16</v>
      </c>
      <c r="AV16" s="6">
        <v>64</v>
      </c>
      <c r="AW16" s="6">
        <f>0.04277+0.10353</f>
        <v>0.14629999999999999</v>
      </c>
      <c r="AX16" s="6"/>
      <c r="AY16" s="6">
        <v>1</v>
      </c>
      <c r="AZ16" s="6">
        <f t="shared" si="2"/>
        <v>4</v>
      </c>
      <c r="BA16" s="6">
        <v>4.2770000000000002E-2</v>
      </c>
      <c r="BB16" s="6">
        <v>4.2770000000000002E-2</v>
      </c>
      <c r="BC16" s="6">
        <v>7.0699999999999999E-2</v>
      </c>
      <c r="BD16" s="6">
        <v>7.1129999999999999E-2</v>
      </c>
      <c r="BE16" s="6">
        <v>6.8500000000000005E-2</v>
      </c>
      <c r="BF16" s="6">
        <v>7.4319999999999997E-2</v>
      </c>
      <c r="BG16" s="6">
        <v>6.9769999999999999E-2</v>
      </c>
      <c r="BH16" s="6">
        <v>7.0660000000000001E-2</v>
      </c>
      <c r="BI16" s="6">
        <v>7.0660000000000001E-2</v>
      </c>
      <c r="BJ16" s="6"/>
      <c r="BK16" s="6">
        <v>16</v>
      </c>
      <c r="BL16" s="6">
        <v>64</v>
      </c>
      <c r="BM16" s="6">
        <f>0.04025+0.09641</f>
        <v>0.13666</v>
      </c>
      <c r="BN16" s="6"/>
      <c r="BO16" s="6"/>
      <c r="BP16" s="6">
        <v>16</v>
      </c>
      <c r="BQ16" s="6">
        <v>64</v>
      </c>
      <c r="BR16" s="6">
        <f>0.21929+0.37959</f>
        <v>0.59887999999999997</v>
      </c>
      <c r="BS16" s="6"/>
      <c r="BT16" s="6">
        <v>1</v>
      </c>
      <c r="BU16" s="6">
        <f t="shared" si="3"/>
        <v>4</v>
      </c>
      <c r="BV16" s="6">
        <v>4.0250000000000001E-2</v>
      </c>
      <c r="BW16" s="6">
        <v>4.0250000000000001E-2</v>
      </c>
      <c r="BX16" s="12">
        <v>6.5579999999999999E-2</v>
      </c>
      <c r="BY16" s="6">
        <v>6.5979999999999997E-2</v>
      </c>
      <c r="BZ16" s="6">
        <v>6.3539999999999999E-2</v>
      </c>
      <c r="CA16" s="6">
        <v>6.8940000000000001E-2</v>
      </c>
      <c r="CB16" s="6">
        <v>6.4710000000000004E-2</v>
      </c>
      <c r="CC16" s="6">
        <v>6.5540000000000001E-2</v>
      </c>
      <c r="CD16" s="6">
        <v>6.5540000000000001E-2</v>
      </c>
      <c r="CE16" s="6">
        <f t="shared" ref="CE16:CE38" si="6">BW16+CB16</f>
        <v>0.10496</v>
      </c>
      <c r="CF16" s="6">
        <v>16</v>
      </c>
      <c r="CG16" s="6">
        <f>CF16/ts</f>
        <v>64</v>
      </c>
      <c r="CH16" s="6">
        <f>0.28607+0.28146</f>
        <v>0.56752999999999998</v>
      </c>
      <c r="CI16" s="6"/>
      <c r="CJ16" s="6">
        <v>16</v>
      </c>
      <c r="CK16" s="6">
        <f>CJ16/ts</f>
        <v>64</v>
      </c>
      <c r="CL16" s="6">
        <f>0.29298+0.38111</f>
        <v>0.67409000000000008</v>
      </c>
      <c r="CM16" s="6"/>
      <c r="CN16" s="6">
        <v>16</v>
      </c>
      <c r="CO16" s="6">
        <f>CN16/ts</f>
        <v>64</v>
      </c>
      <c r="CP16" s="6">
        <f>0.24768+0.34363</f>
        <v>0.59131</v>
      </c>
      <c r="CQ16" s="6"/>
      <c r="CR16" s="6"/>
      <c r="CS16" s="16">
        <v>9</v>
      </c>
      <c r="CT16" s="6">
        <f>CS16/$B$1</f>
        <v>36</v>
      </c>
      <c r="CU16" s="6">
        <v>0.14852000000000001</v>
      </c>
      <c r="CV16" s="17"/>
      <c r="CX16" s="19">
        <v>9</v>
      </c>
      <c r="CY16" s="6">
        <f>CX16/$B$1</f>
        <v>36</v>
      </c>
      <c r="CZ16" s="6">
        <v>0.14496999999999999</v>
      </c>
      <c r="DC16" s="19">
        <v>14</v>
      </c>
      <c r="DD16" s="6">
        <f>DC16/$B$1</f>
        <v>56</v>
      </c>
      <c r="DE16" s="6">
        <v>0.33904000000000001</v>
      </c>
      <c r="DG16" s="19">
        <v>14</v>
      </c>
      <c r="DH16" s="6">
        <f>DG16/$B$1</f>
        <v>56</v>
      </c>
      <c r="DI16" s="6">
        <v>0.30753999999999998</v>
      </c>
      <c r="DL16" s="19">
        <v>16</v>
      </c>
      <c r="DM16" s="6">
        <f>DL16/$B$1</f>
        <v>64</v>
      </c>
      <c r="DN16" s="6">
        <v>0.41760000000000003</v>
      </c>
      <c r="DP16" s="19">
        <v>14</v>
      </c>
      <c r="DQ16" s="6">
        <f>DP16/$B$1</f>
        <v>56</v>
      </c>
      <c r="DR16" s="6">
        <v>0.25241999999999998</v>
      </c>
      <c r="DU16" s="19">
        <v>14</v>
      </c>
      <c r="DV16" s="6">
        <f>DU16/$B$1</f>
        <v>56</v>
      </c>
      <c r="DW16" s="6">
        <v>0.15878</v>
      </c>
      <c r="DZ16" s="19">
        <v>14</v>
      </c>
      <c r="EA16" s="6">
        <f>DZ16/$B$1</f>
        <v>56</v>
      </c>
      <c r="EB16" s="6">
        <v>0.22559000000000001</v>
      </c>
      <c r="EE16" s="19">
        <v>14</v>
      </c>
      <c r="EF16" s="6">
        <f>EE16/$B$1</f>
        <v>56</v>
      </c>
      <c r="EG16" s="6">
        <v>0.15332999999999999</v>
      </c>
      <c r="EJ16" s="19">
        <v>14</v>
      </c>
      <c r="EK16" s="6">
        <f>EJ16/$B$1</f>
        <v>56</v>
      </c>
      <c r="EL16" s="6">
        <v>0.20385</v>
      </c>
      <c r="EN16" s="16">
        <v>6</v>
      </c>
      <c r="EO16" s="6">
        <f>EN16/$B$1</f>
        <v>24</v>
      </c>
      <c r="EP16" s="6">
        <v>0.11207</v>
      </c>
      <c r="ER16" s="17"/>
      <c r="ES16" s="19">
        <v>6</v>
      </c>
      <c r="ET16" s="6">
        <f>ES16/$B$1</f>
        <v>24</v>
      </c>
      <c r="EU16" s="6">
        <v>0.11501</v>
      </c>
      <c r="EX16" s="19">
        <v>6</v>
      </c>
      <c r="EY16" s="6">
        <f>EX16/$B$1</f>
        <v>24</v>
      </c>
      <c r="EZ16" s="6">
        <v>0.10442</v>
      </c>
      <c r="FC16" s="19">
        <v>6</v>
      </c>
      <c r="FD16" s="19">
        <f>FC16/$B$1</f>
        <v>24</v>
      </c>
      <c r="FE16" s="6">
        <f>0.12729+0.11656</f>
        <v>0.24384999999999998</v>
      </c>
    </row>
    <row r="17" spans="1:162" x14ac:dyDescent="0.2">
      <c r="A17" s="6">
        <v>21</v>
      </c>
      <c r="B17" s="6">
        <v>84</v>
      </c>
      <c r="C17" s="6">
        <f>0.11979+0.09496</f>
        <v>0.21475</v>
      </c>
      <c r="D17" s="6"/>
      <c r="E17" s="6">
        <v>21</v>
      </c>
      <c r="F17" s="6">
        <v>84</v>
      </c>
      <c r="G17" s="6">
        <f>0.04699+0.0664</f>
        <v>0.11338999999999999</v>
      </c>
      <c r="H17" s="6"/>
      <c r="I17" s="6">
        <v>2</v>
      </c>
      <c r="J17" s="6">
        <f t="shared" si="0"/>
        <v>8</v>
      </c>
      <c r="K17" s="6">
        <f t="shared" si="4"/>
        <v>4.6989999999999997E-2</v>
      </c>
      <c r="L17" s="6">
        <f t="shared" si="4"/>
        <v>4.6989999999999997E-2</v>
      </c>
      <c r="M17" s="6">
        <v>8.0089999999999995E-2</v>
      </c>
      <c r="N17" s="6">
        <v>8.0269999999999994E-2</v>
      </c>
      <c r="O17" s="6">
        <v>7.7520000000000006E-2</v>
      </c>
      <c r="P17" s="6">
        <v>8.3110000000000003E-2</v>
      </c>
      <c r="Q17" s="6">
        <v>7.9149999999999998E-2</v>
      </c>
      <c r="R17" s="6">
        <v>8.0549999999999997E-2</v>
      </c>
      <c r="S17" s="6">
        <v>8.0379999999999993E-2</v>
      </c>
      <c r="T17" s="6"/>
      <c r="U17" s="6">
        <v>21</v>
      </c>
      <c r="V17" s="6">
        <v>84</v>
      </c>
      <c r="W17" s="6">
        <f>0.10633+0.06525</f>
        <v>0.17158000000000001</v>
      </c>
      <c r="X17" s="6"/>
      <c r="Y17" s="6"/>
      <c r="Z17" s="6">
        <v>21</v>
      </c>
      <c r="AA17" s="6">
        <v>84</v>
      </c>
      <c r="AB17" s="6">
        <f>0.04605+0.06525</f>
        <v>0.11130000000000001</v>
      </c>
      <c r="AC17" s="6"/>
      <c r="AD17" s="6">
        <v>2</v>
      </c>
      <c r="AE17" s="6">
        <f t="shared" si="1"/>
        <v>8</v>
      </c>
      <c r="AF17" s="6">
        <f t="shared" si="5"/>
        <v>4.6050000000000001E-2</v>
      </c>
      <c r="AG17" s="6">
        <f t="shared" si="5"/>
        <v>4.6050000000000001E-2</v>
      </c>
      <c r="AH17" s="6">
        <v>7.5910000000000005E-2</v>
      </c>
      <c r="AI17" s="6">
        <v>7.6069999999999999E-2</v>
      </c>
      <c r="AJ17" s="6">
        <v>7.3469999999999994E-2</v>
      </c>
      <c r="AK17" s="6">
        <v>7.8759999999999997E-2</v>
      </c>
      <c r="AL17" s="6">
        <v>7.5009999999999993E-2</v>
      </c>
      <c r="AM17" s="6">
        <v>7.6340000000000005E-2</v>
      </c>
      <c r="AN17" s="6">
        <v>7.6179999999999998E-2</v>
      </c>
      <c r="AO17" s="6"/>
      <c r="AP17" s="6">
        <v>21</v>
      </c>
      <c r="AQ17" s="6">
        <v>84</v>
      </c>
      <c r="AR17" s="6">
        <f>0.09674+0.0612</f>
        <v>0.15794</v>
      </c>
      <c r="AS17" s="6"/>
      <c r="AT17" s="6"/>
      <c r="AU17" s="6">
        <v>21</v>
      </c>
      <c r="AV17" s="6">
        <v>84</v>
      </c>
      <c r="AW17" s="6">
        <f>0.04277+0.0612</f>
        <v>0.10397000000000001</v>
      </c>
      <c r="AX17" s="6"/>
      <c r="AY17" s="6">
        <v>2</v>
      </c>
      <c r="AZ17" s="6">
        <f t="shared" si="2"/>
        <v>8</v>
      </c>
      <c r="BA17" s="6">
        <v>4.2770000000000002E-2</v>
      </c>
      <c r="BB17" s="6">
        <v>4.2770000000000002E-2</v>
      </c>
      <c r="BC17" s="6">
        <v>7.0819999999999994E-2</v>
      </c>
      <c r="BD17" s="6">
        <v>7.0980000000000001E-2</v>
      </c>
      <c r="BE17" s="6">
        <v>6.8540000000000004E-2</v>
      </c>
      <c r="BF17" s="6">
        <v>7.349E-2</v>
      </c>
      <c r="BG17" s="6">
        <v>6.9980000000000001E-2</v>
      </c>
      <c r="BH17" s="6">
        <v>7.1230000000000002E-2</v>
      </c>
      <c r="BI17" s="6">
        <v>7.1069999999999994E-2</v>
      </c>
      <c r="BJ17" s="6"/>
      <c r="BK17" s="6">
        <v>21</v>
      </c>
      <c r="BL17" s="6">
        <v>84</v>
      </c>
      <c r="BM17" s="6">
        <f>0.04025+0.05516</f>
        <v>9.5409999999999995E-2</v>
      </c>
      <c r="BN17" s="6"/>
      <c r="BO17" s="6"/>
      <c r="BP17" s="6">
        <v>21</v>
      </c>
      <c r="BQ17" s="6">
        <v>84</v>
      </c>
      <c r="BR17" s="6">
        <f>0.08809+0.05516</f>
        <v>0.14324999999999999</v>
      </c>
      <c r="BS17" s="6"/>
      <c r="BT17" s="6">
        <v>2</v>
      </c>
      <c r="BU17" s="6">
        <f t="shared" si="3"/>
        <v>8</v>
      </c>
      <c r="BV17" s="6">
        <v>4.0250000000000001E-2</v>
      </c>
      <c r="BW17" s="6">
        <v>4.0250000000000001E-2</v>
      </c>
      <c r="BX17" s="12">
        <v>6.5689999999999998E-2</v>
      </c>
      <c r="BY17" s="6">
        <v>6.583E-2</v>
      </c>
      <c r="BZ17" s="6">
        <v>6.3579999999999998E-2</v>
      </c>
      <c r="CA17" s="6">
        <v>6.8159999999999998E-2</v>
      </c>
      <c r="CB17" s="6">
        <v>6.4909999999999995E-2</v>
      </c>
      <c r="CC17" s="6">
        <v>6.6070000000000004E-2</v>
      </c>
      <c r="CD17" s="6">
        <v>6.5920000000000006E-2</v>
      </c>
      <c r="CE17" s="6">
        <f t="shared" si="6"/>
        <v>0.10516</v>
      </c>
      <c r="CF17" s="6">
        <v>21</v>
      </c>
      <c r="CG17" s="6">
        <f>CF17/ts</f>
        <v>84</v>
      </c>
      <c r="CH17" s="6">
        <f>0.09451+0.10587</f>
        <v>0.20038</v>
      </c>
      <c r="CI17" s="6"/>
      <c r="CJ17" s="6">
        <v>21</v>
      </c>
      <c r="CK17" s="6">
        <f>CJ17/ts</f>
        <v>84</v>
      </c>
      <c r="CL17" s="6">
        <f>0.09596+0.07992</f>
        <v>0.17588000000000001</v>
      </c>
      <c r="CM17" s="6"/>
      <c r="CN17" s="6">
        <v>21</v>
      </c>
      <c r="CO17" s="6">
        <f>CN17/ts</f>
        <v>84</v>
      </c>
      <c r="CP17" s="6">
        <f>0.07922+0.06719</f>
        <v>0.14640999999999998</v>
      </c>
      <c r="CQ17" s="6"/>
      <c r="CR17" s="6"/>
      <c r="CS17" s="16">
        <v>14</v>
      </c>
      <c r="CT17" s="6">
        <f>CS17/$B$1</f>
        <v>56</v>
      </c>
      <c r="CU17" s="6">
        <v>0.17518</v>
      </c>
      <c r="CV17" s="17"/>
      <c r="CX17" s="19">
        <v>14</v>
      </c>
      <c r="CY17" s="6">
        <f>CX17/$B$1</f>
        <v>56</v>
      </c>
      <c r="CZ17" s="6">
        <v>0.16824</v>
      </c>
      <c r="DC17" s="19">
        <v>16</v>
      </c>
      <c r="DD17" s="6">
        <f>DC17/$B$1</f>
        <v>64</v>
      </c>
      <c r="DE17" s="6">
        <v>0.38827</v>
      </c>
      <c r="DG17" s="19">
        <v>16</v>
      </c>
      <c r="DH17" s="6">
        <f>DG17/$B$1</f>
        <v>64</v>
      </c>
      <c r="DI17" s="6">
        <v>0.44884000000000002</v>
      </c>
      <c r="DL17" s="19">
        <v>21</v>
      </c>
      <c r="DM17" s="6">
        <f>DL17/$B$1</f>
        <v>84</v>
      </c>
      <c r="DN17" s="6">
        <v>0.29966999999999999</v>
      </c>
      <c r="DP17" s="19">
        <v>16</v>
      </c>
      <c r="DQ17" s="6">
        <f>DP17/$B$1</f>
        <v>64</v>
      </c>
      <c r="DR17" s="6">
        <v>0.31411</v>
      </c>
      <c r="DU17" s="19">
        <v>16</v>
      </c>
      <c r="DV17" s="6">
        <f>DU17/$B$1</f>
        <v>64</v>
      </c>
      <c r="DW17" s="6">
        <v>0.19597999999999999</v>
      </c>
      <c r="DZ17" s="19">
        <v>16</v>
      </c>
      <c r="EA17" s="6">
        <f>DZ17/$B$1</f>
        <v>64</v>
      </c>
      <c r="EB17" s="6">
        <v>0.40943000000000002</v>
      </c>
      <c r="EE17" s="19">
        <v>16</v>
      </c>
      <c r="EF17" s="6">
        <f>EE17/$B$1</f>
        <v>64</v>
      </c>
      <c r="EG17" s="6">
        <v>0.18675</v>
      </c>
      <c r="EJ17" s="19">
        <v>16</v>
      </c>
      <c r="EK17" s="6">
        <f>EJ17/$B$1</f>
        <v>64</v>
      </c>
      <c r="EL17" s="6">
        <v>0.38668000000000002</v>
      </c>
      <c r="EN17" s="16">
        <v>16</v>
      </c>
      <c r="EO17" s="6">
        <f>EN17/$B$1</f>
        <v>64</v>
      </c>
      <c r="EP17" s="6">
        <v>0.22944999999999999</v>
      </c>
      <c r="ER17" s="17"/>
      <c r="ES17" s="19">
        <v>16</v>
      </c>
      <c r="ET17" s="6">
        <f>ES17/$B$1</f>
        <v>64</v>
      </c>
      <c r="EU17" s="6">
        <v>0.18945999999999999</v>
      </c>
      <c r="EX17" s="19">
        <v>16</v>
      </c>
      <c r="EY17" s="6">
        <f>EX17/$B$1</f>
        <v>64</v>
      </c>
      <c r="EZ17" s="6">
        <v>0.17177999999999999</v>
      </c>
      <c r="FC17" s="19">
        <v>16</v>
      </c>
      <c r="FD17" s="19">
        <f>FC17/$B$1</f>
        <v>64</v>
      </c>
      <c r="FE17" s="6">
        <f>0.12729+0.34164</f>
        <v>0.46892999999999996</v>
      </c>
    </row>
    <row r="18" spans="1:162" x14ac:dyDescent="0.2">
      <c r="A18" s="6"/>
      <c r="B18" s="6"/>
      <c r="C18" s="6"/>
      <c r="D18" s="6"/>
      <c r="E18" s="6" t="s">
        <v>54</v>
      </c>
      <c r="F18" s="6" t="s">
        <v>55</v>
      </c>
      <c r="G18" s="6">
        <f>14.85+4.73+17.48</f>
        <v>37.06</v>
      </c>
      <c r="H18" s="6">
        <f>G18/(mo)</f>
        <v>1.2150819672131148</v>
      </c>
      <c r="I18" s="6">
        <v>3</v>
      </c>
      <c r="J18" s="6">
        <f t="shared" si="0"/>
        <v>12</v>
      </c>
      <c r="K18" s="6">
        <f t="shared" si="4"/>
        <v>4.6989999999999997E-2</v>
      </c>
      <c r="L18" s="6">
        <f t="shared" si="4"/>
        <v>4.6989999999999997E-2</v>
      </c>
      <c r="M18" s="6">
        <v>8.0180000000000001E-2</v>
      </c>
      <c r="N18" s="6">
        <v>8.0729999999999996E-2</v>
      </c>
      <c r="O18" s="6">
        <v>7.8310000000000005E-2</v>
      </c>
      <c r="P18" s="6">
        <v>8.4029999999999994E-2</v>
      </c>
      <c r="Q18" s="6">
        <v>7.9979999999999996E-2</v>
      </c>
      <c r="R18" s="6">
        <v>8.0839999999999995E-2</v>
      </c>
      <c r="S18" s="6">
        <v>8.0710000000000004E-2</v>
      </c>
      <c r="T18" s="6"/>
      <c r="U18" s="6" t="s">
        <v>54</v>
      </c>
      <c r="V18" s="6" t="s">
        <v>55</v>
      </c>
      <c r="W18" s="6">
        <f>12.14+5.12</f>
        <v>17.260000000000002</v>
      </c>
      <c r="X18" s="6">
        <f>W18/(mo)</f>
        <v>0.5659016393442623</v>
      </c>
      <c r="Y18" s="6"/>
      <c r="Z18" s="6" t="s">
        <v>54</v>
      </c>
      <c r="AA18" s="6" t="s">
        <v>55</v>
      </c>
      <c r="AB18" s="6">
        <f>17.57+15.5+23.56</f>
        <v>56.629999999999995</v>
      </c>
      <c r="AC18" s="6">
        <f>AB18/(mo)</f>
        <v>1.8567213114754098</v>
      </c>
      <c r="AD18" s="6">
        <v>3</v>
      </c>
      <c r="AE18" s="6">
        <f t="shared" si="1"/>
        <v>12</v>
      </c>
      <c r="AF18" s="6">
        <f t="shared" si="5"/>
        <v>4.6050000000000001E-2</v>
      </c>
      <c r="AG18" s="6">
        <f t="shared" si="5"/>
        <v>4.6050000000000001E-2</v>
      </c>
      <c r="AH18" s="6">
        <v>7.5990000000000002E-2</v>
      </c>
      <c r="AI18" s="6">
        <v>7.6509999999999995E-2</v>
      </c>
      <c r="AJ18" s="6">
        <v>7.4219999999999994E-2</v>
      </c>
      <c r="AK18" s="6">
        <v>7.9640000000000002E-2</v>
      </c>
      <c r="AL18" s="6">
        <v>7.5800000000000006E-2</v>
      </c>
      <c r="AM18" s="6">
        <v>7.6609999999999998E-2</v>
      </c>
      <c r="AN18" s="6">
        <v>7.6490000000000002E-2</v>
      </c>
      <c r="AO18" s="6"/>
      <c r="AP18" s="6" t="s">
        <v>54</v>
      </c>
      <c r="AQ18" s="6" t="s">
        <v>55</v>
      </c>
      <c r="AR18" s="6">
        <f>12.93+4.86</f>
        <v>17.79</v>
      </c>
      <c r="AS18" s="6">
        <f>AR18/(mo)</f>
        <v>0.58327868852459008</v>
      </c>
      <c r="AT18" s="6"/>
      <c r="AU18" s="6" t="s">
        <v>54</v>
      </c>
      <c r="AV18" s="6" t="s">
        <v>55</v>
      </c>
      <c r="AW18" s="6">
        <f>18.94+16.14+22.36</f>
        <v>57.44</v>
      </c>
      <c r="AX18" s="6">
        <f>AW18/(mo)</f>
        <v>1.88327868852459</v>
      </c>
      <c r="AY18" s="6">
        <v>3</v>
      </c>
      <c r="AZ18" s="6">
        <f t="shared" si="2"/>
        <v>12</v>
      </c>
      <c r="BA18" s="6">
        <v>4.2770000000000002E-2</v>
      </c>
      <c r="BB18" s="6">
        <v>4.2770000000000002E-2</v>
      </c>
      <c r="BC18" s="6">
        <v>7.0900000000000005E-2</v>
      </c>
      <c r="BD18" s="6">
        <v>7.1379999999999999E-2</v>
      </c>
      <c r="BE18" s="6">
        <v>6.9239999999999996E-2</v>
      </c>
      <c r="BF18" s="6">
        <v>7.4300000000000005E-2</v>
      </c>
      <c r="BG18" s="6">
        <v>7.0720000000000005E-2</v>
      </c>
      <c r="BH18" s="6">
        <v>7.1480000000000002E-2</v>
      </c>
      <c r="BI18" s="6">
        <v>7.1360000000000007E-2</v>
      </c>
      <c r="BJ18" s="6"/>
      <c r="BK18" s="6" t="s">
        <v>54</v>
      </c>
      <c r="BL18" s="6" t="s">
        <v>55</v>
      </c>
      <c r="BM18" s="6">
        <f>19.54+15.84+26.7</f>
        <v>62.08</v>
      </c>
      <c r="BN18" s="6">
        <f>BM18/(mo)</f>
        <v>2.0354098360655737</v>
      </c>
      <c r="BO18" s="6"/>
      <c r="BP18" s="6" t="s">
        <v>54</v>
      </c>
      <c r="BQ18" s="6" t="s">
        <v>94</v>
      </c>
      <c r="BR18" s="6">
        <v>13.42</v>
      </c>
      <c r="BS18" s="6">
        <f>BR18/(mo)</f>
        <v>0.44</v>
      </c>
      <c r="BT18" s="6">
        <v>3</v>
      </c>
      <c r="BU18" s="6">
        <f t="shared" si="3"/>
        <v>12</v>
      </c>
      <c r="BV18" s="6">
        <v>4.0250000000000001E-2</v>
      </c>
      <c r="BW18" s="6">
        <v>4.0250000000000001E-2</v>
      </c>
      <c r="BX18" s="12">
        <v>6.5759999999999999E-2</v>
      </c>
      <c r="BY18" s="6">
        <v>6.6210000000000005E-2</v>
      </c>
      <c r="BZ18" s="6">
        <v>6.4229999999999995E-2</v>
      </c>
      <c r="CA18" s="6">
        <v>6.8919999999999995E-2</v>
      </c>
      <c r="CB18" s="6">
        <v>6.5600000000000006E-2</v>
      </c>
      <c r="CC18" s="6">
        <v>6.6299999999999998E-2</v>
      </c>
      <c r="CD18" s="6">
        <v>6.6189999999999999E-2</v>
      </c>
      <c r="CE18" s="6">
        <f t="shared" si="6"/>
        <v>0.10585</v>
      </c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16">
        <v>16</v>
      </c>
      <c r="CT18" s="6">
        <f>CS18/$B$1</f>
        <v>64</v>
      </c>
      <c r="CU18" s="6">
        <v>0.36719000000000002</v>
      </c>
      <c r="CV18" s="17"/>
      <c r="CX18" s="19">
        <v>16</v>
      </c>
      <c r="CY18" s="6">
        <f>CX18/$B$1</f>
        <v>64</v>
      </c>
      <c r="CZ18" s="6">
        <v>0.38146999999999998</v>
      </c>
      <c r="DC18" s="19">
        <v>21</v>
      </c>
      <c r="DD18" s="6">
        <f>DC18/$B$1</f>
        <v>84</v>
      </c>
      <c r="DE18" s="6">
        <v>0.33904000000000001</v>
      </c>
      <c r="DG18" s="19">
        <v>21</v>
      </c>
      <c r="DH18" s="6">
        <f>DG18/$B$1</f>
        <v>84</v>
      </c>
      <c r="DI18" s="6">
        <v>0.30753999999999998</v>
      </c>
      <c r="DL18" s="19"/>
      <c r="DM18" s="6"/>
      <c r="DN18" s="6"/>
      <c r="DP18" s="19">
        <v>21</v>
      </c>
      <c r="DQ18" s="6">
        <f>DP18/$B$1</f>
        <v>84</v>
      </c>
      <c r="DR18" s="6">
        <v>0.25241999999999998</v>
      </c>
      <c r="DU18" s="19">
        <v>21</v>
      </c>
      <c r="DV18" s="6">
        <f>DU18/$B$1</f>
        <v>84</v>
      </c>
      <c r="DW18" s="6">
        <v>0.15878</v>
      </c>
      <c r="DZ18" s="19">
        <v>21</v>
      </c>
      <c r="EA18" s="6">
        <f>DZ18/$B$1</f>
        <v>84</v>
      </c>
      <c r="EB18" s="6">
        <v>0.22559000000000001</v>
      </c>
      <c r="EE18" s="19">
        <v>21</v>
      </c>
      <c r="EF18" s="6">
        <f>EE18/$B$1</f>
        <v>84</v>
      </c>
      <c r="EG18" s="6">
        <v>0.15332999999999999</v>
      </c>
      <c r="EJ18" s="19">
        <v>21</v>
      </c>
      <c r="EK18" s="6">
        <f>EJ18/$B$1</f>
        <v>84</v>
      </c>
      <c r="EL18" s="6">
        <v>0.20385</v>
      </c>
      <c r="EN18" s="16">
        <v>21</v>
      </c>
      <c r="EO18" s="6">
        <f>EN18/$B$1</f>
        <v>84</v>
      </c>
      <c r="EP18" s="6">
        <v>0.11207</v>
      </c>
      <c r="ER18" s="17"/>
      <c r="ES18" s="19">
        <v>21</v>
      </c>
      <c r="ET18" s="6">
        <f>ES18/$B$1</f>
        <v>84</v>
      </c>
      <c r="EU18" s="6">
        <v>0.11501</v>
      </c>
      <c r="EX18" s="19">
        <v>21</v>
      </c>
      <c r="EY18" s="6">
        <f>EX18/$B$1</f>
        <v>84</v>
      </c>
      <c r="EZ18" s="6">
        <v>0.10442</v>
      </c>
      <c r="FA18">
        <f>18.63/mo</f>
        <v>0.61081967213114752</v>
      </c>
      <c r="FC18" s="19">
        <v>21</v>
      </c>
      <c r="FD18" s="19">
        <f>FC18/$B$1</f>
        <v>84</v>
      </c>
      <c r="FE18" s="6">
        <f>0.12729+0.11656</f>
        <v>0.24384999999999998</v>
      </c>
    </row>
    <row r="19" spans="1:162" x14ac:dyDescent="0.2">
      <c r="A19" s="5" t="s">
        <v>48</v>
      </c>
      <c r="B19" s="5" t="s">
        <v>49</v>
      </c>
      <c r="C19" s="5" t="s">
        <v>77</v>
      </c>
      <c r="D19" s="6"/>
      <c r="E19" s="5" t="s">
        <v>48</v>
      </c>
      <c r="F19" s="5" t="s">
        <v>49</v>
      </c>
      <c r="G19" s="5" t="s">
        <v>77</v>
      </c>
      <c r="H19" s="6"/>
      <c r="I19" s="6">
        <v>4</v>
      </c>
      <c r="J19" s="6">
        <f t="shared" si="0"/>
        <v>16</v>
      </c>
      <c r="K19" s="6">
        <f t="shared" si="4"/>
        <v>4.6989999999999997E-2</v>
      </c>
      <c r="L19" s="6">
        <f t="shared" si="4"/>
        <v>4.6989999999999997E-2</v>
      </c>
      <c r="M19" s="6">
        <v>8.2309999999999994E-2</v>
      </c>
      <c r="N19" s="6">
        <v>8.2949999999999996E-2</v>
      </c>
      <c r="O19" s="6">
        <v>7.9979999999999996E-2</v>
      </c>
      <c r="P19" s="6">
        <v>8.5680000000000006E-2</v>
      </c>
      <c r="Q19" s="6">
        <v>8.1610000000000002E-2</v>
      </c>
      <c r="R19" s="6">
        <v>8.1920000000000007E-2</v>
      </c>
      <c r="S19" s="6">
        <v>8.1540000000000001E-2</v>
      </c>
      <c r="T19" s="6"/>
      <c r="U19" s="5" t="s">
        <v>48</v>
      </c>
      <c r="V19" s="5" t="s">
        <v>49</v>
      </c>
      <c r="W19" s="5" t="s">
        <v>77</v>
      </c>
      <c r="X19" s="6"/>
      <c r="Y19" s="6"/>
      <c r="Z19" s="5" t="s">
        <v>48</v>
      </c>
      <c r="AA19" s="5" t="s">
        <v>49</v>
      </c>
      <c r="AB19" s="5" t="s">
        <v>77</v>
      </c>
      <c r="AC19" s="6"/>
      <c r="AD19" s="6">
        <v>4</v>
      </c>
      <c r="AE19" s="6">
        <f t="shared" si="1"/>
        <v>16</v>
      </c>
      <c r="AF19" s="6">
        <f t="shared" si="5"/>
        <v>4.6050000000000001E-2</v>
      </c>
      <c r="AG19" s="6">
        <f t="shared" si="5"/>
        <v>4.6050000000000001E-2</v>
      </c>
      <c r="AH19" s="6">
        <v>7.8009999999999996E-2</v>
      </c>
      <c r="AI19" s="6">
        <v>7.8619999999999995E-2</v>
      </c>
      <c r="AJ19" s="6">
        <v>7.5800000000000006E-2</v>
      </c>
      <c r="AK19" s="6">
        <v>8.1199999999999994E-2</v>
      </c>
      <c r="AL19" s="6">
        <v>7.7340000000000006E-2</v>
      </c>
      <c r="AM19" s="6">
        <v>7.7640000000000001E-2</v>
      </c>
      <c r="AN19" s="6">
        <v>7.7280000000000001E-2</v>
      </c>
      <c r="AO19" s="6"/>
      <c r="AP19" s="5" t="s">
        <v>48</v>
      </c>
      <c r="AQ19" s="5" t="s">
        <v>49</v>
      </c>
      <c r="AR19" s="5" t="s">
        <v>77</v>
      </c>
      <c r="AS19" s="6"/>
      <c r="AT19" s="6"/>
      <c r="AU19" s="5" t="s">
        <v>48</v>
      </c>
      <c r="AV19" s="5" t="s">
        <v>49</v>
      </c>
      <c r="AW19" s="5" t="s">
        <v>77</v>
      </c>
      <c r="AX19" s="6"/>
      <c r="AY19" s="6">
        <v>4</v>
      </c>
      <c r="AZ19" s="6">
        <f t="shared" si="2"/>
        <v>16</v>
      </c>
      <c r="BA19" s="6">
        <v>4.2770000000000002E-2</v>
      </c>
      <c r="BB19" s="6">
        <v>4.2770000000000002E-2</v>
      </c>
      <c r="BC19" s="6">
        <v>7.2789999999999994E-2</v>
      </c>
      <c r="BD19" s="6">
        <v>7.3349999999999999E-2</v>
      </c>
      <c r="BE19" s="6">
        <v>7.0720000000000005E-2</v>
      </c>
      <c r="BF19" s="6">
        <v>7.5759999999999994E-2</v>
      </c>
      <c r="BG19" s="6">
        <v>7.2160000000000002E-2</v>
      </c>
      <c r="BH19" s="6">
        <v>7.2440000000000004E-2</v>
      </c>
      <c r="BI19" s="6">
        <v>7.2099999999999997E-2</v>
      </c>
      <c r="BJ19" s="6"/>
      <c r="BK19" s="5" t="s">
        <v>48</v>
      </c>
      <c r="BL19" s="5" t="s">
        <v>49</v>
      </c>
      <c r="BM19" s="5" t="s">
        <v>77</v>
      </c>
      <c r="BN19" s="6"/>
      <c r="BO19" s="6"/>
      <c r="BP19" s="5" t="s">
        <v>48</v>
      </c>
      <c r="BQ19" s="5" t="s">
        <v>49</v>
      </c>
      <c r="BR19" s="5" t="s">
        <v>77</v>
      </c>
      <c r="BS19" s="6"/>
      <c r="BT19" s="6">
        <v>4</v>
      </c>
      <c r="BU19" s="6">
        <f t="shared" si="3"/>
        <v>16</v>
      </c>
      <c r="BV19" s="6">
        <v>4.0250000000000001E-2</v>
      </c>
      <c r="BW19" s="6">
        <v>4.0250000000000001E-2</v>
      </c>
      <c r="BX19" s="12">
        <v>6.7510000000000001E-2</v>
      </c>
      <c r="BY19" s="6">
        <v>6.8029999999999993E-2</v>
      </c>
      <c r="BZ19" s="6">
        <v>6.5600000000000006E-2</v>
      </c>
      <c r="CA19" s="6">
        <v>7.0269999999999999E-2</v>
      </c>
      <c r="CB19" s="6">
        <v>6.6930000000000003E-2</v>
      </c>
      <c r="CC19" s="6">
        <v>6.719E-2</v>
      </c>
      <c r="CD19" s="6">
        <v>6.6879999999999995E-2</v>
      </c>
      <c r="CE19" s="6">
        <f t="shared" si="6"/>
        <v>0.10718</v>
      </c>
      <c r="CF19" s="5" t="s">
        <v>48</v>
      </c>
      <c r="CG19" s="5" t="s">
        <v>49</v>
      </c>
      <c r="CH19" s="5" t="s">
        <v>77</v>
      </c>
      <c r="CI19" s="6"/>
      <c r="CJ19" s="5" t="s">
        <v>48</v>
      </c>
      <c r="CK19" s="5" t="s">
        <v>49</v>
      </c>
      <c r="CL19" s="5" t="s">
        <v>77</v>
      </c>
      <c r="CM19" s="6"/>
      <c r="CN19" s="5" t="s">
        <v>48</v>
      </c>
      <c r="CO19" s="5" t="s">
        <v>49</v>
      </c>
      <c r="CP19" s="5" t="s">
        <v>77</v>
      </c>
      <c r="CQ19" s="6"/>
      <c r="CR19" s="6"/>
      <c r="CS19" s="16">
        <v>21</v>
      </c>
      <c r="CT19" s="6">
        <f>CS19/$B$1</f>
        <v>84</v>
      </c>
      <c r="CU19" s="6">
        <v>0.17518</v>
      </c>
      <c r="CV19" s="17"/>
      <c r="CX19" s="19">
        <v>21</v>
      </c>
      <c r="CY19" s="6">
        <f>CX19/$B$1</f>
        <v>84</v>
      </c>
      <c r="CZ19" s="6">
        <v>0.16824</v>
      </c>
      <c r="DC19" s="19">
        <v>23</v>
      </c>
      <c r="DD19" s="6">
        <f>DC19/$B$1</f>
        <v>92</v>
      </c>
      <c r="DE19" s="6">
        <v>0.31824000000000002</v>
      </c>
      <c r="DG19" s="19">
        <v>23</v>
      </c>
      <c r="DH19" s="6">
        <f>DG19/$B$1</f>
        <v>92</v>
      </c>
      <c r="DI19" s="6">
        <v>0.26021</v>
      </c>
      <c r="DL19" s="18" t="s">
        <v>48</v>
      </c>
      <c r="DM19" s="5" t="s">
        <v>49</v>
      </c>
      <c r="DN19" s="5" t="s">
        <v>121</v>
      </c>
      <c r="DO19" s="6"/>
      <c r="DP19" s="19">
        <v>23</v>
      </c>
      <c r="DQ19" s="6">
        <f>DP19/$B$1</f>
        <v>92</v>
      </c>
      <c r="DR19" s="6">
        <v>0.21984999999999999</v>
      </c>
      <c r="DU19" s="19">
        <v>23</v>
      </c>
      <c r="DV19" s="6">
        <f>DU19/$B$1</f>
        <v>92</v>
      </c>
      <c r="DW19" s="6">
        <v>0.13245999999999999</v>
      </c>
      <c r="DZ19" s="19">
        <v>23</v>
      </c>
      <c r="EA19" s="6">
        <f>DZ19/$B$1</f>
        <v>92</v>
      </c>
      <c r="EB19" s="6">
        <v>0.16511999999999999</v>
      </c>
      <c r="EE19" s="19">
        <v>23</v>
      </c>
      <c r="EF19" s="6">
        <f>EE19/$B$1</f>
        <v>92</v>
      </c>
      <c r="EG19" s="6">
        <v>0.12692999999999999</v>
      </c>
      <c r="EJ19" s="19">
        <v>23</v>
      </c>
      <c r="EK19" s="6">
        <f>EJ19/$B$1</f>
        <v>92</v>
      </c>
      <c r="EL19" s="6">
        <v>0.14482</v>
      </c>
      <c r="EM19">
        <f>12.88/mo</f>
        <v>0.42229508196721316</v>
      </c>
      <c r="EN19" s="16" t="s">
        <v>145</v>
      </c>
      <c r="EO19" s="6" t="s">
        <v>146</v>
      </c>
      <c r="EP19">
        <f>30.68/10+5.99</f>
        <v>9.0579999999999998</v>
      </c>
      <c r="EQ19" s="6">
        <f>EP19/mo</f>
        <v>0.29698360655737704</v>
      </c>
      <c r="ER19" s="17"/>
      <c r="ES19" s="19" t="s">
        <v>145</v>
      </c>
      <c r="ET19" s="6" t="s">
        <v>155</v>
      </c>
      <c r="EU19">
        <f>31.32+27.8+12.18</f>
        <v>71.300000000000011</v>
      </c>
      <c r="EV19" s="6">
        <f>EU19/mo</f>
        <v>2.3377049180327871</v>
      </c>
      <c r="EX19" s="19" t="s">
        <v>145</v>
      </c>
      <c r="EY19" s="6" t="s">
        <v>157</v>
      </c>
      <c r="EZ19">
        <f>18.63+26.81+34.2</f>
        <v>79.64</v>
      </c>
      <c r="FA19" s="6">
        <f>EZ19/mo</f>
        <v>2.6111475409836067</v>
      </c>
      <c r="FC19" t="s">
        <v>152</v>
      </c>
      <c r="FD19" t="s">
        <v>153</v>
      </c>
      <c r="FE19" s="6">
        <v>4.57</v>
      </c>
      <c r="FF19">
        <f>FE19/mo</f>
        <v>0.14983606557377049</v>
      </c>
    </row>
    <row r="20" spans="1:162" x14ac:dyDescent="0.2">
      <c r="A20" s="6">
        <v>0</v>
      </c>
      <c r="B20" s="6">
        <v>0</v>
      </c>
      <c r="C20" s="6">
        <f>0.11979+0.09496</f>
        <v>0.21475</v>
      </c>
      <c r="D20" s="6"/>
      <c r="E20" s="6">
        <v>0</v>
      </c>
      <c r="F20" s="6">
        <v>0</v>
      </c>
      <c r="G20" s="6">
        <f>0.04699+0.0664</f>
        <v>0.11338999999999999</v>
      </c>
      <c r="H20" s="6"/>
      <c r="I20" s="6">
        <v>5</v>
      </c>
      <c r="J20" s="6">
        <f t="shared" si="0"/>
        <v>20</v>
      </c>
      <c r="K20" s="6">
        <f t="shared" si="4"/>
        <v>4.6989999999999997E-2</v>
      </c>
      <c r="L20" s="6">
        <f t="shared" si="4"/>
        <v>4.6989999999999997E-2</v>
      </c>
      <c r="M20" s="6">
        <v>8.7459999999999996E-2</v>
      </c>
      <c r="N20" s="6">
        <v>8.8300000000000003E-2</v>
      </c>
      <c r="O20" s="6">
        <v>8.4489999999999996E-2</v>
      </c>
      <c r="P20" s="6">
        <v>9.1840000000000005E-2</v>
      </c>
      <c r="Q20" s="6">
        <v>8.634E-2</v>
      </c>
      <c r="R20" s="6">
        <v>8.3809999999999996E-2</v>
      </c>
      <c r="S20" s="6">
        <v>8.3150000000000002E-2</v>
      </c>
      <c r="T20" s="6"/>
      <c r="U20" s="6">
        <v>0</v>
      </c>
      <c r="V20" s="6">
        <v>0</v>
      </c>
      <c r="W20" s="6">
        <f>0.10633+0.06525</f>
        <v>0.17158000000000001</v>
      </c>
      <c r="X20" s="6"/>
      <c r="Y20" s="6"/>
      <c r="Z20" s="6">
        <v>0</v>
      </c>
      <c r="AA20" s="6">
        <v>0</v>
      </c>
      <c r="AB20" s="6">
        <f>0.04605+0.06525</f>
        <v>0.11130000000000001</v>
      </c>
      <c r="AC20" s="6"/>
      <c r="AD20" s="6">
        <v>5</v>
      </c>
      <c r="AE20" s="6">
        <f t="shared" si="1"/>
        <v>20</v>
      </c>
      <c r="AF20" s="6">
        <f t="shared" si="5"/>
        <v>4.6050000000000001E-2</v>
      </c>
      <c r="AG20" s="6">
        <f t="shared" si="5"/>
        <v>4.6050000000000001E-2</v>
      </c>
      <c r="AH20" s="6">
        <v>8.2890000000000005E-2</v>
      </c>
      <c r="AI20" s="6">
        <v>8.3690000000000001E-2</v>
      </c>
      <c r="AJ20" s="6">
        <v>8.0079999999999998E-2</v>
      </c>
      <c r="AK20" s="6">
        <v>8.7040000000000006E-2</v>
      </c>
      <c r="AL20" s="6">
        <v>8.183E-2</v>
      </c>
      <c r="AM20" s="6">
        <v>7.9430000000000001E-2</v>
      </c>
      <c r="AN20" s="6">
        <v>7.8799999999999995E-2</v>
      </c>
      <c r="AO20" s="6"/>
      <c r="AP20" s="6">
        <v>0</v>
      </c>
      <c r="AQ20" s="6">
        <v>0</v>
      </c>
      <c r="AR20" s="6">
        <f>0.09674+0.0612</f>
        <v>0.15794</v>
      </c>
      <c r="AS20" s="6"/>
      <c r="AT20" s="6"/>
      <c r="AU20" s="6">
        <v>0</v>
      </c>
      <c r="AV20" s="6">
        <v>0</v>
      </c>
      <c r="AW20" s="6">
        <f>0.04277+0.0612</f>
        <v>0.10397000000000001</v>
      </c>
      <c r="AX20" s="6"/>
      <c r="AY20" s="6">
        <v>5</v>
      </c>
      <c r="AZ20" s="6">
        <f t="shared" si="2"/>
        <v>20</v>
      </c>
      <c r="BA20" s="6">
        <v>4.2770000000000002E-2</v>
      </c>
      <c r="BB20" s="6">
        <v>4.2770000000000002E-2</v>
      </c>
      <c r="BC20" s="6">
        <v>7.7340000000000006E-2</v>
      </c>
      <c r="BD20" s="6">
        <v>7.8079999999999997E-2</v>
      </c>
      <c r="BE20" s="6">
        <v>7.4709999999999999E-2</v>
      </c>
      <c r="BF20" s="6">
        <v>8.1210000000000004E-2</v>
      </c>
      <c r="BG20" s="6">
        <v>7.6350000000000001E-2</v>
      </c>
      <c r="BH20" s="6">
        <v>7.4109999999999995E-2</v>
      </c>
      <c r="BI20" s="6">
        <v>7.3520000000000002E-2</v>
      </c>
      <c r="BJ20" s="6"/>
      <c r="BK20" s="6">
        <v>0</v>
      </c>
      <c r="BL20" s="6">
        <v>0</v>
      </c>
      <c r="BM20" s="6">
        <f>0.04025+0.05516</f>
        <v>9.5409999999999995E-2</v>
      </c>
      <c r="BN20" s="6"/>
      <c r="BO20" s="6"/>
      <c r="BP20" s="6">
        <v>0</v>
      </c>
      <c r="BQ20" s="6">
        <v>0</v>
      </c>
      <c r="BR20" s="6">
        <f>0.08809+0.05516</f>
        <v>0.14324999999999999</v>
      </c>
      <c r="BS20" s="6"/>
      <c r="BT20" s="6">
        <v>5</v>
      </c>
      <c r="BU20" s="6">
        <f t="shared" si="3"/>
        <v>20</v>
      </c>
      <c r="BV20" s="6">
        <v>4.0250000000000001E-2</v>
      </c>
      <c r="BW20" s="6">
        <v>4.0250000000000001E-2</v>
      </c>
      <c r="BX20" s="12">
        <v>7.1730000000000002E-2</v>
      </c>
      <c r="BY20" s="6">
        <v>7.2419999999999998E-2</v>
      </c>
      <c r="BZ20" s="6">
        <v>6.93E-2</v>
      </c>
      <c r="CA20" s="6">
        <v>7.5329999999999994E-2</v>
      </c>
      <c r="CB20" s="6">
        <v>7.0809999999999998E-2</v>
      </c>
      <c r="CC20" s="6">
        <v>6.8739999999999996E-2</v>
      </c>
      <c r="CD20" s="6">
        <v>6.8199999999999997E-2</v>
      </c>
      <c r="CE20" s="6">
        <f t="shared" si="6"/>
        <v>0.11105999999999999</v>
      </c>
      <c r="CF20" s="6">
        <v>0</v>
      </c>
      <c r="CG20" s="6">
        <f>CF20/ts</f>
        <v>0</v>
      </c>
      <c r="CH20" s="6">
        <f>0.09451+0.10587</f>
        <v>0.20038</v>
      </c>
      <c r="CI20" s="6"/>
      <c r="CJ20" s="6">
        <v>0</v>
      </c>
      <c r="CK20" s="6">
        <f>CJ20/ts</f>
        <v>0</v>
      </c>
      <c r="CL20" s="6">
        <f>0.09596+0.07992</f>
        <v>0.17588000000000001</v>
      </c>
      <c r="CM20" s="6"/>
      <c r="CN20" s="6">
        <v>0</v>
      </c>
      <c r="CO20" s="6">
        <f>CN20/ts</f>
        <v>0</v>
      </c>
      <c r="CP20" s="6">
        <f>0.07922+0.06719</f>
        <v>0.14640999999999998</v>
      </c>
      <c r="CQ20" s="6"/>
      <c r="CR20" s="5"/>
      <c r="CS20" s="16" t="s">
        <v>54</v>
      </c>
      <c r="CT20" s="6" t="s">
        <v>117</v>
      </c>
      <c r="CU20" s="6">
        <f>CU23+CU22/CU21</f>
        <v>2.4809999999999999</v>
      </c>
      <c r="CV20" s="19">
        <f>CU20/mo</f>
        <v>8.1344262295081959E-2</v>
      </c>
      <c r="CX20" s="19" t="s">
        <v>54</v>
      </c>
      <c r="CY20" s="6" t="s">
        <v>279</v>
      </c>
      <c r="CZ20" s="6">
        <f>CZ23+CZ22/CZ21</f>
        <v>3.8212000000000002</v>
      </c>
      <c r="DA20" s="6">
        <f>CZ20/30</f>
        <v>0.12737333333333334</v>
      </c>
      <c r="DB20" s="6"/>
      <c r="DC20" s="19"/>
      <c r="DD20" s="6"/>
      <c r="DE20" s="6"/>
      <c r="DF20" s="6"/>
      <c r="DG20" s="19" t="s">
        <v>124</v>
      </c>
      <c r="DH20" s="6" t="s">
        <v>125</v>
      </c>
      <c r="DI20" s="6">
        <v>4.75</v>
      </c>
      <c r="DJ20" s="6">
        <f>DI20/mo</f>
        <v>0.15573770491803279</v>
      </c>
      <c r="DK20" s="6"/>
      <c r="DL20" s="19">
        <v>0</v>
      </c>
      <c r="DM20" s="6">
        <f>DL20/$B$1</f>
        <v>0</v>
      </c>
      <c r="DN20" s="6">
        <v>0.29025000000000001</v>
      </c>
      <c r="DO20" s="6"/>
      <c r="DP20" s="19" t="s">
        <v>124</v>
      </c>
      <c r="DQ20" s="6" t="s">
        <v>129</v>
      </c>
      <c r="DR20" s="6">
        <v>17.47</v>
      </c>
      <c r="DS20" s="6">
        <f>DR20/mo</f>
        <v>0.5727868852459016</v>
      </c>
      <c r="DT20" s="6"/>
      <c r="DU20" s="19" t="s">
        <v>124</v>
      </c>
      <c r="DV20" s="6" t="s">
        <v>133</v>
      </c>
      <c r="DW20" s="6">
        <f>26.07+32.9</f>
        <v>58.97</v>
      </c>
      <c r="DX20" s="6">
        <f>DW20/mo</f>
        <v>1.9334426229508197</v>
      </c>
      <c r="DY20" s="6"/>
      <c r="DZ20" s="19" t="s">
        <v>124</v>
      </c>
      <c r="EA20" s="6" t="s">
        <v>138</v>
      </c>
      <c r="EB20" s="6">
        <f>11.06+3.04</f>
        <v>14.100000000000001</v>
      </c>
      <c r="EC20" s="6">
        <f>EB20/mo+0.62</f>
        <v>1.0822950819672132</v>
      </c>
      <c r="ED20" s="6"/>
      <c r="EE20" s="19" t="s">
        <v>124</v>
      </c>
      <c r="EF20" s="6" t="s">
        <v>133</v>
      </c>
      <c r="EG20" s="6">
        <f>28.04+30.06</f>
        <v>58.099999999999994</v>
      </c>
      <c r="EH20" s="6">
        <f>EG20/mo</f>
        <v>1.9049180327868851</v>
      </c>
      <c r="EI20" s="6"/>
      <c r="EJ20" s="19" t="s">
        <v>124</v>
      </c>
      <c r="EK20" s="6" t="s">
        <v>138</v>
      </c>
      <c r="EL20" s="6">
        <f>12.88+3.08</f>
        <v>15.96</v>
      </c>
      <c r="EM20" s="6">
        <f>EL20/mo+0.64</f>
        <v>1.1632786885245903</v>
      </c>
      <c r="EN20" s="16"/>
      <c r="EO20" s="6"/>
      <c r="EQ20" s="6"/>
      <c r="ER20" s="17"/>
      <c r="ES20" s="19"/>
      <c r="ET20" s="6"/>
      <c r="EV20" s="6"/>
      <c r="EX20" s="19"/>
      <c r="EY20" s="6"/>
      <c r="FA20" s="6"/>
    </row>
    <row r="21" spans="1:162" x14ac:dyDescent="0.2">
      <c r="A21" s="6">
        <v>16</v>
      </c>
      <c r="B21" s="6">
        <v>64</v>
      </c>
      <c r="C21" s="6">
        <f>0.18194+0.14977</f>
        <v>0.33170999999999995</v>
      </c>
      <c r="D21" s="6"/>
      <c r="E21" s="6">
        <v>16</v>
      </c>
      <c r="F21" s="6">
        <v>64</v>
      </c>
      <c r="G21" s="6">
        <f>0.08218+0.1022</f>
        <v>0.18437999999999999</v>
      </c>
      <c r="H21" s="6"/>
      <c r="I21" s="6">
        <v>6</v>
      </c>
      <c r="J21" s="6">
        <f t="shared" si="0"/>
        <v>24</v>
      </c>
      <c r="K21" s="6">
        <f t="shared" si="4"/>
        <v>4.6989999999999997E-2</v>
      </c>
      <c r="L21" s="6">
        <f t="shared" si="4"/>
        <v>4.6989999999999997E-2</v>
      </c>
      <c r="M21" s="6">
        <v>9.4899999999999998E-2</v>
      </c>
      <c r="N21" s="6">
        <v>9.3630000000000005E-2</v>
      </c>
      <c r="O21" s="6">
        <v>8.4449999999999997E-2</v>
      </c>
      <c r="P21" s="6">
        <v>0.10355</v>
      </c>
      <c r="Q21" s="6">
        <v>9.6799999999999997E-2</v>
      </c>
      <c r="R21" s="6">
        <v>8.5639999999999994E-2</v>
      </c>
      <c r="S21" s="6">
        <v>8.3860000000000004E-2</v>
      </c>
      <c r="T21" s="6"/>
      <c r="U21" s="6">
        <v>16</v>
      </c>
      <c r="V21" s="6">
        <v>64</v>
      </c>
      <c r="W21" s="6">
        <f>0.14696+0.10038</f>
        <v>0.24734</v>
      </c>
      <c r="X21" s="6"/>
      <c r="Y21" s="6"/>
      <c r="Z21" s="6">
        <v>16</v>
      </c>
      <c r="AA21" s="6">
        <v>64</v>
      </c>
      <c r="AB21" s="6">
        <f>0.04605+0.10038</f>
        <v>0.14643</v>
      </c>
      <c r="AC21" s="6"/>
      <c r="AD21" s="6">
        <v>6</v>
      </c>
      <c r="AE21" s="6">
        <f t="shared" si="1"/>
        <v>24</v>
      </c>
      <c r="AF21" s="6">
        <f t="shared" si="5"/>
        <v>4.6050000000000001E-2</v>
      </c>
      <c r="AG21" s="6">
        <f t="shared" si="5"/>
        <v>4.6050000000000001E-2</v>
      </c>
      <c r="AH21" s="6">
        <v>8.9940000000000006E-2</v>
      </c>
      <c r="AI21" s="6">
        <v>8.8730000000000003E-2</v>
      </c>
      <c r="AJ21" s="6">
        <v>8.004E-2</v>
      </c>
      <c r="AK21" s="6">
        <v>9.8140000000000005E-2</v>
      </c>
      <c r="AL21" s="6">
        <v>9.1740000000000002E-2</v>
      </c>
      <c r="AM21" s="6">
        <v>8.1159999999999996E-2</v>
      </c>
      <c r="AN21" s="6">
        <v>7.9469999999999999E-2</v>
      </c>
      <c r="AO21" s="6"/>
      <c r="AP21" s="6">
        <v>16</v>
      </c>
      <c r="AQ21" s="6">
        <v>64</v>
      </c>
      <c r="AR21" s="6">
        <f>0.14671+0.09309</f>
        <v>0.23980000000000001</v>
      </c>
      <c r="AS21" s="6"/>
      <c r="AT21" s="6"/>
      <c r="AU21" s="6">
        <v>16</v>
      </c>
      <c r="AV21" s="6">
        <v>64</v>
      </c>
      <c r="AW21" s="6">
        <f>0.04277+0.09309</f>
        <v>0.13586000000000001</v>
      </c>
      <c r="AX21" s="6"/>
      <c r="AY21" s="6">
        <v>6</v>
      </c>
      <c r="AZ21" s="6">
        <f t="shared" si="2"/>
        <v>24</v>
      </c>
      <c r="BA21" s="6">
        <v>4.2770000000000002E-2</v>
      </c>
      <c r="BB21" s="6">
        <v>4.2770000000000002E-2</v>
      </c>
      <c r="BC21" s="6">
        <v>8.3919999999999995E-2</v>
      </c>
      <c r="BD21" s="6">
        <v>8.2790000000000002E-2</v>
      </c>
      <c r="BE21" s="6">
        <v>7.467E-2</v>
      </c>
      <c r="BF21" s="6">
        <v>9.1569999999999999E-2</v>
      </c>
      <c r="BG21" s="6">
        <v>8.5589999999999999E-2</v>
      </c>
      <c r="BH21" s="6">
        <v>7.5719999999999996E-2</v>
      </c>
      <c r="BI21" s="6">
        <v>7.4149999999999994E-2</v>
      </c>
      <c r="BJ21" s="6"/>
      <c r="BK21" s="6">
        <v>16</v>
      </c>
      <c r="BL21" s="6">
        <v>64</v>
      </c>
      <c r="BM21" s="6">
        <f>0.04025+0.0867</f>
        <v>0.12695000000000001</v>
      </c>
      <c r="BN21" s="6"/>
      <c r="BO21" s="6"/>
      <c r="BP21" s="6">
        <v>16</v>
      </c>
      <c r="BQ21" s="6">
        <v>64</v>
      </c>
      <c r="BR21" s="6">
        <f>0.14065+0.0867</f>
        <v>0.22735</v>
      </c>
      <c r="BS21" s="6"/>
      <c r="BT21" s="6">
        <v>6</v>
      </c>
      <c r="BU21" s="6">
        <f t="shared" si="3"/>
        <v>24</v>
      </c>
      <c r="BV21" s="6">
        <v>4.0250000000000001E-2</v>
      </c>
      <c r="BW21" s="6">
        <v>4.0250000000000001E-2</v>
      </c>
      <c r="BX21" s="12">
        <v>7.7840000000000006E-2</v>
      </c>
      <c r="BY21" s="6">
        <v>7.6789999999999997E-2</v>
      </c>
      <c r="BZ21" s="6">
        <v>6.9260000000000002E-2</v>
      </c>
      <c r="CA21" s="6">
        <v>8.4930000000000005E-2</v>
      </c>
      <c r="CB21" s="6">
        <v>7.9390000000000002E-2</v>
      </c>
      <c r="CC21" s="6">
        <v>7.0239999999999997E-2</v>
      </c>
      <c r="CD21" s="6">
        <v>6.8769999999999998E-2</v>
      </c>
      <c r="CE21" s="6">
        <f t="shared" si="6"/>
        <v>0.11964</v>
      </c>
      <c r="CF21" s="6">
        <v>16</v>
      </c>
      <c r="CG21" s="6">
        <f>CF21/ts</f>
        <v>64</v>
      </c>
      <c r="CH21" s="6">
        <f>0.28607+0.14977</f>
        <v>0.43584000000000001</v>
      </c>
      <c r="CI21" s="6"/>
      <c r="CJ21" s="6">
        <v>16</v>
      </c>
      <c r="CK21" s="6">
        <f>CJ21/ts</f>
        <v>64</v>
      </c>
      <c r="CL21" s="6">
        <f>0.29298+0.10038</f>
        <v>0.39336000000000004</v>
      </c>
      <c r="CM21" s="6"/>
      <c r="CN21" s="6">
        <v>16</v>
      </c>
      <c r="CO21" s="6">
        <f>CN21/ts</f>
        <v>64</v>
      </c>
      <c r="CP21" s="6">
        <f>0.24768+0.0867</f>
        <v>0.33438000000000001</v>
      </c>
      <c r="CQ21" s="6"/>
      <c r="CR21" s="6"/>
      <c r="CS21" s="16"/>
      <c r="CT21" s="6" t="s">
        <v>113</v>
      </c>
      <c r="CU21" s="6">
        <v>10</v>
      </c>
      <c r="CV21" s="19"/>
      <c r="CX21" s="19"/>
      <c r="CY21" s="6" t="s">
        <v>113</v>
      </c>
      <c r="CZ21" s="6">
        <v>50</v>
      </c>
      <c r="DA21" s="6"/>
      <c r="DB21" s="6"/>
      <c r="DC21" s="18" t="s">
        <v>48</v>
      </c>
      <c r="DD21" s="5" t="s">
        <v>49</v>
      </c>
      <c r="DE21" s="5" t="s">
        <v>121</v>
      </c>
      <c r="DF21" s="6"/>
      <c r="DG21" s="18" t="s">
        <v>48</v>
      </c>
      <c r="DH21" s="5" t="s">
        <v>49</v>
      </c>
      <c r="DI21" s="5" t="s">
        <v>121</v>
      </c>
      <c r="DJ21" s="6"/>
      <c r="DK21" s="6"/>
      <c r="DL21" s="19">
        <v>16</v>
      </c>
      <c r="DM21" s="6">
        <f>DL21/$B$1</f>
        <v>64</v>
      </c>
      <c r="DN21" s="6">
        <v>0.30998999999999999</v>
      </c>
      <c r="DP21" s="18" t="s">
        <v>48</v>
      </c>
      <c r="DQ21" s="5" t="s">
        <v>49</v>
      </c>
      <c r="DR21" s="5" t="s">
        <v>121</v>
      </c>
      <c r="DS21" s="6"/>
      <c r="DT21" s="6"/>
      <c r="DU21" s="18" t="s">
        <v>48</v>
      </c>
      <c r="DV21" s="5" t="s">
        <v>49</v>
      </c>
      <c r="DW21" s="5" t="s">
        <v>121</v>
      </c>
      <c r="DX21" s="6"/>
      <c r="DY21" s="6"/>
      <c r="DZ21" s="18" t="s">
        <v>48</v>
      </c>
      <c r="EA21" s="5" t="s">
        <v>49</v>
      </c>
      <c r="EB21" s="5" t="s">
        <v>121</v>
      </c>
      <c r="EC21" s="6"/>
      <c r="ED21" s="6"/>
      <c r="EE21" s="18" t="s">
        <v>48</v>
      </c>
      <c r="EF21" s="5" t="s">
        <v>49</v>
      </c>
      <c r="EG21" s="5" t="s">
        <v>121</v>
      </c>
      <c r="EH21" s="6"/>
      <c r="EI21" s="6"/>
      <c r="EJ21" s="18" t="s">
        <v>48</v>
      </c>
      <c r="EK21" s="5" t="s">
        <v>49</v>
      </c>
      <c r="EL21" s="5" t="s">
        <v>121</v>
      </c>
      <c r="EM21" s="6"/>
      <c r="EN21" s="14" t="s">
        <v>48</v>
      </c>
      <c r="EO21" s="5" t="s">
        <v>49</v>
      </c>
      <c r="EP21" s="5" t="s">
        <v>77</v>
      </c>
      <c r="ER21" s="17"/>
      <c r="ES21" s="18" t="s">
        <v>48</v>
      </c>
      <c r="ET21" s="5" t="s">
        <v>49</v>
      </c>
      <c r="EU21" s="5" t="s">
        <v>77</v>
      </c>
      <c r="EX21" s="18" t="s">
        <v>48</v>
      </c>
      <c r="EY21" s="5" t="s">
        <v>49</v>
      </c>
      <c r="EZ21" s="5" t="s">
        <v>77</v>
      </c>
      <c r="FC21" s="18" t="s">
        <v>48</v>
      </c>
      <c r="FD21" s="18" t="s">
        <v>49</v>
      </c>
      <c r="FE21" s="5" t="s">
        <v>77</v>
      </c>
    </row>
    <row r="22" spans="1:162" x14ac:dyDescent="0.2">
      <c r="A22" s="6">
        <v>21</v>
      </c>
      <c r="B22" s="6">
        <v>84</v>
      </c>
      <c r="C22" s="6">
        <f>0.11979+0.09496</f>
        <v>0.21475</v>
      </c>
      <c r="D22" s="6"/>
      <c r="E22" s="6">
        <v>21</v>
      </c>
      <c r="F22" s="6">
        <v>84</v>
      </c>
      <c r="G22" s="6">
        <f>0.04699+0.0664</f>
        <v>0.11338999999999999</v>
      </c>
      <c r="H22" s="6"/>
      <c r="I22" s="6">
        <v>7</v>
      </c>
      <c r="J22" s="6">
        <f t="shared" si="0"/>
        <v>28</v>
      </c>
      <c r="K22" s="6">
        <f t="shared" si="4"/>
        <v>4.6989999999999997E-2</v>
      </c>
      <c r="L22" s="6">
        <f t="shared" si="4"/>
        <v>4.6989999999999997E-2</v>
      </c>
      <c r="M22" s="6">
        <v>8.201E-2</v>
      </c>
      <c r="N22" s="6">
        <v>8.1610000000000002E-2</v>
      </c>
      <c r="O22" s="6">
        <v>7.6329999999999995E-2</v>
      </c>
      <c r="P22" s="6">
        <v>0.10077999999999999</v>
      </c>
      <c r="Q22" s="6">
        <v>8.9069999999999996E-2</v>
      </c>
      <c r="R22" s="6">
        <v>7.8090000000000007E-2</v>
      </c>
      <c r="S22" s="6">
        <v>7.5319999999999998E-2</v>
      </c>
      <c r="T22" s="6"/>
      <c r="U22" s="6">
        <v>21</v>
      </c>
      <c r="V22" s="6">
        <v>84</v>
      </c>
      <c r="W22" s="6">
        <f>0.10633+0.06525</f>
        <v>0.17158000000000001</v>
      </c>
      <c r="X22" s="6"/>
      <c r="Y22" s="6"/>
      <c r="Z22" s="6">
        <v>21</v>
      </c>
      <c r="AA22" s="6">
        <v>84</v>
      </c>
      <c r="AB22" s="6">
        <f>0.04605+0.06525</f>
        <v>0.11130000000000001</v>
      </c>
      <c r="AC22" s="6"/>
      <c r="AD22" s="6">
        <v>7</v>
      </c>
      <c r="AE22" s="6">
        <f t="shared" si="1"/>
        <v>28</v>
      </c>
      <c r="AF22" s="6">
        <f t="shared" si="5"/>
        <v>4.6050000000000001E-2</v>
      </c>
      <c r="AG22" s="6">
        <f t="shared" si="5"/>
        <v>4.6050000000000001E-2</v>
      </c>
      <c r="AH22" s="6">
        <v>7.7719999999999997E-2</v>
      </c>
      <c r="AI22" s="6">
        <v>7.7340000000000006E-2</v>
      </c>
      <c r="AJ22" s="6">
        <v>7.2340000000000002E-2</v>
      </c>
      <c r="AK22" s="6">
        <v>9.5509999999999998E-2</v>
      </c>
      <c r="AL22" s="6">
        <v>8.4419999999999995E-2</v>
      </c>
      <c r="AM22" s="6">
        <v>7.4010000000000006E-2</v>
      </c>
      <c r="AN22" s="6">
        <v>7.1379999999999999E-2</v>
      </c>
      <c r="AO22" s="6"/>
      <c r="AP22" s="6">
        <v>21</v>
      </c>
      <c r="AQ22" s="6">
        <v>84</v>
      </c>
      <c r="AR22" s="6">
        <f>0.09674+0.0612</f>
        <v>0.15794</v>
      </c>
      <c r="AS22" s="6"/>
      <c r="AT22" s="6"/>
      <c r="AU22" s="6">
        <v>21</v>
      </c>
      <c r="AV22" s="6">
        <v>84</v>
      </c>
      <c r="AW22" s="6">
        <f>0.04277+0.0612</f>
        <v>0.10397000000000001</v>
      </c>
      <c r="AX22" s="6"/>
      <c r="AY22" s="6">
        <v>7</v>
      </c>
      <c r="AZ22" s="6">
        <f t="shared" si="2"/>
        <v>28</v>
      </c>
      <c r="BA22" s="6">
        <v>4.2770000000000002E-2</v>
      </c>
      <c r="BB22" s="6">
        <v>4.2770000000000002E-2</v>
      </c>
      <c r="BC22" s="6">
        <v>7.2510000000000005E-2</v>
      </c>
      <c r="BD22" s="6">
        <v>7.2160000000000002E-2</v>
      </c>
      <c r="BE22" s="6">
        <v>6.7489999999999994E-2</v>
      </c>
      <c r="BF22" s="6">
        <v>8.9109999999999995E-2</v>
      </c>
      <c r="BG22" s="6">
        <v>7.8759999999999997E-2</v>
      </c>
      <c r="BH22" s="6">
        <v>6.905E-2</v>
      </c>
      <c r="BI22" s="6">
        <v>6.6600000000000006E-2</v>
      </c>
      <c r="BJ22" s="6"/>
      <c r="BK22" s="6">
        <v>21</v>
      </c>
      <c r="BL22" s="6">
        <v>84</v>
      </c>
      <c r="BM22" s="6">
        <f>0.04025+0.05516</f>
        <v>9.5409999999999995E-2</v>
      </c>
      <c r="BN22" s="6"/>
      <c r="BO22" s="6"/>
      <c r="BP22" s="6">
        <v>21</v>
      </c>
      <c r="BQ22" s="6">
        <v>84</v>
      </c>
      <c r="BR22" s="6">
        <f>0.08809+0.05516</f>
        <v>0.14324999999999999</v>
      </c>
      <c r="BS22" s="6"/>
      <c r="BT22" s="6">
        <v>7</v>
      </c>
      <c r="BU22" s="6">
        <f t="shared" si="3"/>
        <v>28</v>
      </c>
      <c r="BV22" s="6">
        <v>4.0250000000000001E-2</v>
      </c>
      <c r="BW22" s="6">
        <v>4.0250000000000001E-2</v>
      </c>
      <c r="BX22" s="12">
        <v>6.726E-2</v>
      </c>
      <c r="BY22" s="6">
        <v>6.6930000000000003E-2</v>
      </c>
      <c r="BZ22" s="6">
        <v>6.2600000000000003E-2</v>
      </c>
      <c r="CA22" s="6">
        <v>8.2650000000000001E-2</v>
      </c>
      <c r="CB22" s="6">
        <v>7.3050000000000004E-2</v>
      </c>
      <c r="CC22" s="6">
        <v>6.404E-2</v>
      </c>
      <c r="CD22" s="6">
        <v>6.1769999999999999E-2</v>
      </c>
      <c r="CE22" s="6">
        <f t="shared" si="6"/>
        <v>0.11330000000000001</v>
      </c>
      <c r="CF22" s="6">
        <v>21</v>
      </c>
      <c r="CG22" s="6">
        <f>CF22/ts</f>
        <v>84</v>
      </c>
      <c r="CH22" s="6">
        <f>0.09451+0.10587</f>
        <v>0.20038</v>
      </c>
      <c r="CI22" s="6"/>
      <c r="CJ22" s="6">
        <v>21</v>
      </c>
      <c r="CK22" s="6">
        <f>CJ22/ts</f>
        <v>84</v>
      </c>
      <c r="CL22" s="6">
        <f>0.09596+0.07992</f>
        <v>0.17588000000000001</v>
      </c>
      <c r="CM22" s="6"/>
      <c r="CN22" s="6">
        <v>21</v>
      </c>
      <c r="CO22" s="6">
        <f>CN22/ts</f>
        <v>84</v>
      </c>
      <c r="CP22" s="6">
        <f>0.07922+0.06719</f>
        <v>0.14640999999999998</v>
      </c>
      <c r="CQ22" s="6"/>
      <c r="CR22" s="6"/>
      <c r="CS22" s="14"/>
      <c r="CT22" s="6" t="s">
        <v>114</v>
      </c>
      <c r="CU22" s="6">
        <f>12.41</f>
        <v>12.41</v>
      </c>
      <c r="CV22" s="17"/>
      <c r="CX22" s="18"/>
      <c r="CY22" s="6" t="s">
        <v>114</v>
      </c>
      <c r="CZ22" s="6">
        <v>95.56</v>
      </c>
      <c r="DC22" s="19">
        <v>0</v>
      </c>
      <c r="DD22" s="6">
        <f>DC22/$B$1</f>
        <v>0</v>
      </c>
      <c r="DE22" s="6">
        <v>0.29674</v>
      </c>
      <c r="DG22" s="19">
        <v>0</v>
      </c>
      <c r="DH22" s="6">
        <f>DG22/$B$1</f>
        <v>0</v>
      </c>
      <c r="DI22" s="6">
        <v>0.23233999999999999</v>
      </c>
      <c r="DL22" s="19">
        <v>21</v>
      </c>
      <c r="DM22" s="6">
        <f>DL22/$B$1</f>
        <v>84</v>
      </c>
      <c r="DN22" s="6">
        <v>0.29025000000000001</v>
      </c>
      <c r="DP22" s="19">
        <v>0</v>
      </c>
      <c r="DQ22" s="6">
        <f>DP22/$B$1</f>
        <v>0</v>
      </c>
      <c r="DR22" s="6">
        <v>0.20236000000000001</v>
      </c>
      <c r="DU22" s="19">
        <v>0</v>
      </c>
      <c r="DV22" s="6">
        <f>DU22/$B$1</f>
        <v>0</v>
      </c>
      <c r="DW22" s="6">
        <v>0.13236000000000001</v>
      </c>
      <c r="DZ22" s="19">
        <v>0</v>
      </c>
      <c r="EA22" s="6">
        <f>DZ22/$B$1</f>
        <v>0</v>
      </c>
      <c r="EB22" s="6">
        <v>0.14729999999999999</v>
      </c>
      <c r="EE22" s="19">
        <v>0</v>
      </c>
      <c r="EF22" s="6">
        <f>EE22/$B$1</f>
        <v>0</v>
      </c>
      <c r="EG22" s="6">
        <v>0.12672</v>
      </c>
      <c r="EJ22" s="19">
        <v>0</v>
      </c>
      <c r="EK22" s="6">
        <f>EJ22/$B$1</f>
        <v>0</v>
      </c>
      <c r="EL22" s="6">
        <v>0.13627</v>
      </c>
      <c r="EN22" s="16">
        <v>0</v>
      </c>
      <c r="EO22" s="6">
        <f>EN22/$B$1</f>
        <v>0</v>
      </c>
      <c r="EP22" s="6">
        <v>0.10635</v>
      </c>
      <c r="ER22" s="17"/>
      <c r="ES22" s="19">
        <v>0</v>
      </c>
      <c r="ET22" s="6">
        <f>ES22/$B$1</f>
        <v>0</v>
      </c>
      <c r="EU22" s="6">
        <v>0.11038000000000001</v>
      </c>
      <c r="EX22" s="19">
        <v>0</v>
      </c>
      <c r="EY22" s="6">
        <f>EX22/$B$1</f>
        <v>0</v>
      </c>
      <c r="EZ22" s="6">
        <v>0.10097</v>
      </c>
      <c r="FC22" s="19">
        <v>0</v>
      </c>
      <c r="FD22" s="19">
        <f>FC22/$B$1</f>
        <v>0</v>
      </c>
      <c r="FE22" s="6">
        <f>0.12729+0.06544</f>
        <v>0.19272999999999998</v>
      </c>
    </row>
    <row r="23" spans="1:162" x14ac:dyDescent="0.2">
      <c r="A23" s="6"/>
      <c r="B23" s="6"/>
      <c r="C23" s="6"/>
      <c r="D23" s="6"/>
      <c r="E23" s="6" t="s">
        <v>54</v>
      </c>
      <c r="F23" s="6"/>
      <c r="G23" s="6">
        <v>14.85</v>
      </c>
      <c r="H23" s="6">
        <f>G23/(mo)</f>
        <v>0.48688524590163934</v>
      </c>
      <c r="I23" s="6">
        <v>8</v>
      </c>
      <c r="J23" s="6">
        <f t="shared" si="0"/>
        <v>32</v>
      </c>
      <c r="K23" s="6">
        <f t="shared" si="4"/>
        <v>4.6989999999999997E-2</v>
      </c>
      <c r="L23" s="6">
        <v>4.1889999999999997E-2</v>
      </c>
      <c r="M23" s="6">
        <v>7.5910000000000005E-2</v>
      </c>
      <c r="N23" s="6">
        <v>7.6369999999999993E-2</v>
      </c>
      <c r="O23" s="6">
        <v>6.9879999999999998E-2</v>
      </c>
      <c r="P23" s="6">
        <v>8.4540000000000004E-2</v>
      </c>
      <c r="Q23" s="6">
        <v>7.7689999999999995E-2</v>
      </c>
      <c r="R23" s="6">
        <v>6.4350000000000004E-2</v>
      </c>
      <c r="S23" s="6">
        <v>5.8349999999999999E-2</v>
      </c>
      <c r="T23" s="6"/>
      <c r="U23" s="6" t="s">
        <v>54</v>
      </c>
      <c r="V23" s="6" t="s">
        <v>94</v>
      </c>
      <c r="W23" s="6">
        <f>12.14</f>
        <v>12.14</v>
      </c>
      <c r="X23" s="6">
        <f>W23/(mo)</f>
        <v>0.3980327868852459</v>
      </c>
      <c r="Y23" s="6"/>
      <c r="Z23" s="6" t="s">
        <v>54</v>
      </c>
      <c r="AA23" s="6"/>
      <c r="AB23" s="6">
        <f>17.57</f>
        <v>17.57</v>
      </c>
      <c r="AC23" s="6">
        <f>AB23/(mo)</f>
        <v>0.57606557377049183</v>
      </c>
      <c r="AD23" s="6">
        <v>8</v>
      </c>
      <c r="AE23" s="6">
        <f t="shared" si="1"/>
        <v>32</v>
      </c>
      <c r="AF23" s="6">
        <f t="shared" si="5"/>
        <v>4.6050000000000001E-2</v>
      </c>
      <c r="AG23" s="6">
        <f t="shared" si="5"/>
        <v>4.6050000000000001E-2</v>
      </c>
      <c r="AH23" s="6">
        <v>7.1940000000000004E-2</v>
      </c>
      <c r="AI23" s="6">
        <v>7.238E-2</v>
      </c>
      <c r="AJ23" s="6">
        <v>6.6229999999999997E-2</v>
      </c>
      <c r="AK23" s="6">
        <v>8.0119999999999997E-2</v>
      </c>
      <c r="AL23" s="6">
        <v>7.3630000000000001E-2</v>
      </c>
      <c r="AM23" s="6">
        <v>6.0990000000000003E-2</v>
      </c>
      <c r="AN23" s="6">
        <v>5.5300000000000002E-2</v>
      </c>
      <c r="AO23" s="6"/>
      <c r="AP23" s="6" t="s">
        <v>54</v>
      </c>
      <c r="AQ23" s="6" t="s">
        <v>94</v>
      </c>
      <c r="AR23" s="6">
        <v>12.93</v>
      </c>
      <c r="AS23" s="6">
        <f>AR23/(mo)</f>
        <v>0.42393442622950817</v>
      </c>
      <c r="AT23" s="6"/>
      <c r="AU23" s="6" t="s">
        <v>54</v>
      </c>
      <c r="AV23" s="6" t="s">
        <v>94</v>
      </c>
      <c r="AW23" s="6">
        <v>18.940000000000001</v>
      </c>
      <c r="AX23" s="6">
        <f>AW23/(mo)</f>
        <v>0.62098360655737705</v>
      </c>
      <c r="AY23" s="6">
        <v>8</v>
      </c>
      <c r="AZ23" s="6">
        <f t="shared" si="2"/>
        <v>32</v>
      </c>
      <c r="BA23" s="6">
        <v>4.2770000000000002E-2</v>
      </c>
      <c r="BB23" s="6">
        <v>4.2770000000000002E-2</v>
      </c>
      <c r="BC23" s="6">
        <v>6.7119999999999999E-2</v>
      </c>
      <c r="BD23" s="6">
        <v>6.7530000000000007E-2</v>
      </c>
      <c r="BE23" s="6">
        <v>6.1789999999999998E-2</v>
      </c>
      <c r="BF23" s="6">
        <v>7.4749999999999997E-2</v>
      </c>
      <c r="BG23" s="6">
        <v>6.8699999999999997E-2</v>
      </c>
      <c r="BH23" s="6">
        <v>5.6899999999999999E-2</v>
      </c>
      <c r="BI23" s="6">
        <v>5.1589999999999997E-2</v>
      </c>
      <c r="BJ23" s="6"/>
      <c r="BK23" s="6" t="s">
        <v>54</v>
      </c>
      <c r="BL23" s="6" t="s">
        <v>94</v>
      </c>
      <c r="BM23" s="6">
        <f>19.54</f>
        <v>19.54</v>
      </c>
      <c r="BN23" s="6">
        <f>BM23/(mo)</f>
        <v>0.64065573770491802</v>
      </c>
      <c r="BO23" s="6"/>
      <c r="BP23" s="6" t="s">
        <v>54</v>
      </c>
      <c r="BQ23" s="6" t="s">
        <v>94</v>
      </c>
      <c r="BR23" s="6">
        <v>13.42</v>
      </c>
      <c r="BS23" s="6">
        <f>BR23/(mo)</f>
        <v>0.44</v>
      </c>
      <c r="BT23" s="6">
        <v>8</v>
      </c>
      <c r="BU23" s="6">
        <f t="shared" si="3"/>
        <v>32</v>
      </c>
      <c r="BV23" s="6">
        <v>4.0250000000000001E-2</v>
      </c>
      <c r="BW23" s="6">
        <v>4.0250000000000001E-2</v>
      </c>
      <c r="BX23" s="12">
        <v>6.2260000000000003E-2</v>
      </c>
      <c r="BY23" s="6">
        <v>6.2640000000000001E-2</v>
      </c>
      <c r="BZ23" s="6">
        <v>5.731E-2</v>
      </c>
      <c r="CA23" s="6">
        <v>6.9330000000000003E-2</v>
      </c>
      <c r="CB23" s="6">
        <v>6.3719999999999999E-2</v>
      </c>
      <c r="CC23" s="6">
        <v>5.2780000000000001E-2</v>
      </c>
      <c r="CD23" s="6">
        <v>4.7849999999999997E-2</v>
      </c>
      <c r="CE23" s="6">
        <f t="shared" si="6"/>
        <v>0.10397000000000001</v>
      </c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16"/>
      <c r="CT23" s="6" t="s">
        <v>115</v>
      </c>
      <c r="CU23" s="6">
        <v>1.24</v>
      </c>
      <c r="CV23" s="17"/>
      <c r="CX23" s="19"/>
      <c r="CY23" s="6" t="s">
        <v>115</v>
      </c>
      <c r="CZ23" s="6">
        <v>1.91</v>
      </c>
      <c r="DC23" s="19">
        <v>16</v>
      </c>
      <c r="DD23" s="6">
        <f>DC23/$B$1</f>
        <v>64</v>
      </c>
      <c r="DE23" s="6">
        <v>0.31285000000000002</v>
      </c>
      <c r="DG23" s="19">
        <v>9</v>
      </c>
      <c r="DH23" s="6">
        <f>DG23/$B$1</f>
        <v>36</v>
      </c>
      <c r="DI23" s="6">
        <v>0.21592</v>
      </c>
      <c r="DP23" s="19">
        <v>16</v>
      </c>
      <c r="DQ23" s="6">
        <f>DP23/$B$1</f>
        <v>64</v>
      </c>
      <c r="DR23" s="6">
        <v>0.23784</v>
      </c>
      <c r="DU23" s="19">
        <v>16</v>
      </c>
      <c r="DV23" s="6">
        <f>DU23/$B$1</f>
        <v>64</v>
      </c>
      <c r="DW23" s="6">
        <v>0.17235</v>
      </c>
      <c r="DZ23" s="19">
        <v>16</v>
      </c>
      <c r="EA23" s="6">
        <f>DZ23/$B$1</f>
        <v>64</v>
      </c>
      <c r="EB23" s="6">
        <v>0.18962000000000001</v>
      </c>
      <c r="EE23" s="19">
        <v>16</v>
      </c>
      <c r="EF23" s="6">
        <f>EE23/$B$1</f>
        <v>64</v>
      </c>
      <c r="EG23" s="6">
        <v>0.16683999999999999</v>
      </c>
      <c r="EJ23" s="19">
        <v>16</v>
      </c>
      <c r="EK23" s="6">
        <f>EJ23/$B$1</f>
        <v>64</v>
      </c>
      <c r="EL23" s="6">
        <v>0.18</v>
      </c>
      <c r="EN23" s="16">
        <v>14</v>
      </c>
      <c r="EO23" s="6">
        <f>EN23/$B$1</f>
        <v>56</v>
      </c>
      <c r="EP23" s="6">
        <v>0.11207</v>
      </c>
      <c r="ER23" s="17"/>
      <c r="ES23" s="19">
        <v>14</v>
      </c>
      <c r="ET23" s="6">
        <f>ES23/$B$1</f>
        <v>56</v>
      </c>
      <c r="EU23" s="6">
        <v>0.11501</v>
      </c>
      <c r="EX23" s="19">
        <v>14</v>
      </c>
      <c r="EY23" s="6">
        <f>EX23/$B$1</f>
        <v>56</v>
      </c>
      <c r="EZ23" s="6">
        <v>0.10442</v>
      </c>
      <c r="FC23" s="19">
        <v>14</v>
      </c>
      <c r="FD23" s="19">
        <f>FC23/$B$1</f>
        <v>56</v>
      </c>
      <c r="FE23" s="6">
        <f>0.12729+0.11656</f>
        <v>0.24384999999999998</v>
      </c>
    </row>
    <row r="24" spans="1:162" x14ac:dyDescent="0.2">
      <c r="D24" s="6"/>
      <c r="H24" s="6"/>
      <c r="I24" s="6">
        <v>9</v>
      </c>
      <c r="J24" s="6">
        <f t="shared" si="0"/>
        <v>36</v>
      </c>
      <c r="K24" s="6">
        <f t="shared" si="4"/>
        <v>4.6989999999999997E-2</v>
      </c>
      <c r="L24" s="6">
        <v>4.1889999999999997E-2</v>
      </c>
      <c r="M24" s="6">
        <v>7.1929999999999994E-2</v>
      </c>
      <c r="N24" s="6">
        <v>7.3050000000000004E-2</v>
      </c>
      <c r="O24" s="6">
        <v>6.4799999999999996E-2</v>
      </c>
      <c r="P24" s="6">
        <v>7.9719999999999999E-2</v>
      </c>
      <c r="Q24" s="6">
        <v>6.9809999999999997E-2</v>
      </c>
      <c r="R24" s="6">
        <v>3.882E-2</v>
      </c>
      <c r="S24" s="6">
        <v>3.9289999999999999E-2</v>
      </c>
      <c r="T24" s="6"/>
      <c r="X24" s="6"/>
      <c r="Y24" s="6"/>
      <c r="AC24" s="6"/>
      <c r="AD24" s="6">
        <v>9</v>
      </c>
      <c r="AE24" s="6">
        <f t="shared" si="1"/>
        <v>36</v>
      </c>
      <c r="AF24" s="6">
        <f t="shared" si="5"/>
        <v>4.6050000000000001E-2</v>
      </c>
      <c r="AG24" s="6">
        <f t="shared" si="5"/>
        <v>4.6050000000000001E-2</v>
      </c>
      <c r="AH24" s="6">
        <v>6.8169999999999994E-2</v>
      </c>
      <c r="AI24" s="6">
        <v>6.923E-2</v>
      </c>
      <c r="AJ24" s="6">
        <v>6.1409999999999999E-2</v>
      </c>
      <c r="AK24" s="6">
        <v>7.5550000000000006E-2</v>
      </c>
      <c r="AL24" s="6">
        <v>6.6159999999999997E-2</v>
      </c>
      <c r="AM24" s="6">
        <v>3.6799999999999999E-2</v>
      </c>
      <c r="AN24" s="6">
        <v>3.7229999999999999E-2</v>
      </c>
      <c r="AO24" s="6"/>
      <c r="AS24" s="6"/>
      <c r="AT24" s="6"/>
      <c r="AX24" s="6"/>
      <c r="AY24" s="6">
        <v>9</v>
      </c>
      <c r="AZ24" s="6">
        <f t="shared" si="2"/>
        <v>36</v>
      </c>
      <c r="BA24" s="6">
        <v>4.2770000000000002E-2</v>
      </c>
      <c r="BB24" s="6">
        <v>4.2770000000000002E-2</v>
      </c>
      <c r="BC24" s="6">
        <v>6.3600000000000004E-2</v>
      </c>
      <c r="BD24" s="6">
        <v>6.4589999999999995E-2</v>
      </c>
      <c r="BE24" s="6">
        <v>5.7290000000000001E-2</v>
      </c>
      <c r="BF24" s="6">
        <v>7.0489999999999997E-2</v>
      </c>
      <c r="BG24" s="6">
        <v>6.173E-2</v>
      </c>
      <c r="BH24" s="6">
        <v>3.4329999999999999E-2</v>
      </c>
      <c r="BI24" s="6">
        <v>3.474E-2</v>
      </c>
      <c r="BJ24" s="6"/>
      <c r="BN24" s="6"/>
      <c r="BO24" s="6"/>
      <c r="BS24" s="6"/>
      <c r="BT24" s="6">
        <v>9</v>
      </c>
      <c r="BU24" s="6">
        <f t="shared" si="3"/>
        <v>36</v>
      </c>
      <c r="BV24" s="6">
        <v>4.0250000000000001E-2</v>
      </c>
      <c r="BW24" s="6">
        <v>4.0250000000000001E-2</v>
      </c>
      <c r="BX24" s="12">
        <v>5.8990000000000001E-2</v>
      </c>
      <c r="BY24" s="6">
        <v>5.9909999999999998E-2</v>
      </c>
      <c r="BZ24" s="6">
        <v>5.314E-2</v>
      </c>
      <c r="CA24" s="6">
        <v>6.5379999999999994E-2</v>
      </c>
      <c r="CB24" s="6">
        <v>5.7259999999999998E-2</v>
      </c>
      <c r="CC24" s="6">
        <v>0.31840000000000002</v>
      </c>
      <c r="CD24" s="6">
        <v>3.2219999999999999E-2</v>
      </c>
      <c r="CE24" s="6">
        <f t="shared" si="6"/>
        <v>9.7509999999999999E-2</v>
      </c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16"/>
      <c r="CT24" s="6" t="s">
        <v>116</v>
      </c>
      <c r="CU24" s="6">
        <v>2.48</v>
      </c>
      <c r="CV24" s="17"/>
      <c r="CX24" s="19"/>
      <c r="CY24" s="6" t="s">
        <v>116</v>
      </c>
      <c r="CZ24" s="6">
        <v>3.82</v>
      </c>
      <c r="DC24" s="19">
        <v>21</v>
      </c>
      <c r="DD24" s="6">
        <f>DC24/$B$1</f>
        <v>84</v>
      </c>
      <c r="DE24" s="6">
        <v>0.29674</v>
      </c>
      <c r="DG24" s="19">
        <v>14</v>
      </c>
      <c r="DH24" s="6">
        <f>DG24/$B$1</f>
        <v>56</v>
      </c>
      <c r="DI24" s="6">
        <v>0.23233999999999999</v>
      </c>
      <c r="DL24" s="18" t="s">
        <v>48</v>
      </c>
      <c r="DM24" s="5" t="s">
        <v>49</v>
      </c>
      <c r="DN24" s="5" t="s">
        <v>122</v>
      </c>
      <c r="DP24" s="19">
        <v>21</v>
      </c>
      <c r="DQ24" s="6">
        <f>DP24/$B$1</f>
        <v>84</v>
      </c>
      <c r="DR24" s="6">
        <v>0.20236000000000001</v>
      </c>
      <c r="DU24" s="19">
        <v>21</v>
      </c>
      <c r="DV24" s="6">
        <f>DU24/$B$1</f>
        <v>84</v>
      </c>
      <c r="DW24" s="6">
        <v>0.13236000000000001</v>
      </c>
      <c r="DZ24" s="19">
        <v>21</v>
      </c>
      <c r="EA24" s="6">
        <f>DZ24/$B$1</f>
        <v>84</v>
      </c>
      <c r="EB24" s="6">
        <v>0.14729999999999999</v>
      </c>
      <c r="EE24" s="19">
        <v>21</v>
      </c>
      <c r="EF24" s="6">
        <f>EE24/$B$1</f>
        <v>84</v>
      </c>
      <c r="EG24" s="6">
        <v>0.12672</v>
      </c>
      <c r="EJ24" s="19">
        <v>21</v>
      </c>
      <c r="EK24" s="6">
        <f>EJ24/$B$1</f>
        <v>84</v>
      </c>
      <c r="EL24" s="6">
        <v>0.13627</v>
      </c>
      <c r="EM24">
        <f>12.88/mo</f>
        <v>0.42229508196721316</v>
      </c>
      <c r="EN24" s="16">
        <v>16</v>
      </c>
      <c r="EO24" s="6">
        <f>EN24/$B$1</f>
        <v>64</v>
      </c>
      <c r="EP24" s="6">
        <v>0.22944999999999999</v>
      </c>
      <c r="ER24" s="17"/>
      <c r="ES24" s="19">
        <v>16</v>
      </c>
      <c r="ET24" s="6">
        <f>ES24/$B$1</f>
        <v>64</v>
      </c>
      <c r="EU24" s="6">
        <v>0.18945999999999999</v>
      </c>
      <c r="EX24" s="19">
        <v>16</v>
      </c>
      <c r="EY24" s="6">
        <f>EX24/$B$1</f>
        <v>64</v>
      </c>
      <c r="EZ24" s="6">
        <v>0.17177999999999999</v>
      </c>
      <c r="FC24" s="19">
        <v>16</v>
      </c>
      <c r="FD24" s="19">
        <f>FC24/$B$1</f>
        <v>64</v>
      </c>
      <c r="FE24" s="6">
        <f>0.12729+0.34164</f>
        <v>0.46892999999999996</v>
      </c>
    </row>
    <row r="25" spans="1:162" x14ac:dyDescent="0.2">
      <c r="A25" s="5" t="s">
        <v>48</v>
      </c>
      <c r="B25" s="5" t="s">
        <v>49</v>
      </c>
      <c r="C25" s="5" t="s">
        <v>53</v>
      </c>
      <c r="D25" s="6"/>
      <c r="E25" s="5" t="s">
        <v>48</v>
      </c>
      <c r="F25" s="5" t="s">
        <v>49</v>
      </c>
      <c r="G25" s="5" t="s">
        <v>84</v>
      </c>
      <c r="H25" s="6"/>
      <c r="I25" s="6">
        <v>10</v>
      </c>
      <c r="J25" s="6">
        <f t="shared" si="0"/>
        <v>40</v>
      </c>
      <c r="K25" s="6">
        <f t="shared" si="4"/>
        <v>4.6989999999999997E-2</v>
      </c>
      <c r="L25" s="6">
        <v>4.1889999999999997E-2</v>
      </c>
      <c r="M25" s="6">
        <v>6.948E-2</v>
      </c>
      <c r="N25" s="6">
        <v>7.2429999999999994E-2</v>
      </c>
      <c r="O25" s="6">
        <v>6.3519999999999993E-2</v>
      </c>
      <c r="P25" s="6">
        <v>7.7049999999999993E-2</v>
      </c>
      <c r="Q25" s="6">
        <v>6.1469999999999997E-2</v>
      </c>
      <c r="R25" s="6">
        <v>2.69E-2</v>
      </c>
      <c r="S25" s="6">
        <v>2.597E-2</v>
      </c>
      <c r="T25" s="6"/>
      <c r="U25" s="5" t="s">
        <v>48</v>
      </c>
      <c r="V25" s="5" t="s">
        <v>49</v>
      </c>
      <c r="W25" s="5" t="s">
        <v>56</v>
      </c>
      <c r="X25" s="6"/>
      <c r="Y25" s="6"/>
      <c r="Z25" s="5" t="s">
        <v>48</v>
      </c>
      <c r="AA25" s="5" t="s">
        <v>49</v>
      </c>
      <c r="AB25" s="5" t="s">
        <v>84</v>
      </c>
      <c r="AC25" s="6"/>
      <c r="AD25" s="6">
        <v>10</v>
      </c>
      <c r="AE25" s="6">
        <f t="shared" si="1"/>
        <v>40</v>
      </c>
      <c r="AF25" s="6">
        <f t="shared" si="5"/>
        <v>4.6050000000000001E-2</v>
      </c>
      <c r="AG25" s="6">
        <f t="shared" si="5"/>
        <v>4.6050000000000001E-2</v>
      </c>
      <c r="AH25" s="6">
        <v>6.5850000000000006E-2</v>
      </c>
      <c r="AI25" s="6">
        <v>6.8650000000000003E-2</v>
      </c>
      <c r="AJ25" s="6">
        <v>6.0199999999999997E-2</v>
      </c>
      <c r="AK25" s="6">
        <v>7.3029999999999998E-2</v>
      </c>
      <c r="AL25" s="6">
        <v>5.8259999999999999E-2</v>
      </c>
      <c r="AM25" s="6">
        <v>2.5489999999999999E-2</v>
      </c>
      <c r="AN25" s="6">
        <v>2.461E-2</v>
      </c>
      <c r="AO25" s="6"/>
      <c r="AP25" s="5" t="s">
        <v>48</v>
      </c>
      <c r="AQ25" s="5" t="s">
        <v>49</v>
      </c>
      <c r="AR25" s="5" t="s">
        <v>56</v>
      </c>
      <c r="AS25" s="6"/>
      <c r="AT25" s="6"/>
      <c r="AU25" s="5" t="s">
        <v>48</v>
      </c>
      <c r="AV25" s="5" t="s">
        <v>49</v>
      </c>
      <c r="AW25" s="5" t="s">
        <v>56</v>
      </c>
      <c r="AX25" s="6"/>
      <c r="AY25" s="6">
        <v>10</v>
      </c>
      <c r="AZ25" s="6">
        <f t="shared" si="2"/>
        <v>40</v>
      </c>
      <c r="BA25" s="6">
        <v>4.2770000000000002E-2</v>
      </c>
      <c r="BB25" s="6">
        <v>4.2770000000000002E-2</v>
      </c>
      <c r="BC25" s="6">
        <v>6.1440000000000002E-2</v>
      </c>
      <c r="BD25" s="6">
        <v>6.4049999999999996E-2</v>
      </c>
      <c r="BE25" s="6">
        <v>5.6169999999999998E-2</v>
      </c>
      <c r="BF25" s="6">
        <v>6.8129999999999996E-2</v>
      </c>
      <c r="BG25" s="6">
        <v>5.4359999999999999E-2</v>
      </c>
      <c r="BH25" s="6">
        <v>2.3779999999999999E-2</v>
      </c>
      <c r="BI25" s="6">
        <v>2.2960000000000001E-2</v>
      </c>
      <c r="BJ25" s="6"/>
      <c r="BK25" s="5" t="s">
        <v>48</v>
      </c>
      <c r="BL25" s="5" t="s">
        <v>49</v>
      </c>
      <c r="BM25" s="5" t="s">
        <v>56</v>
      </c>
      <c r="BN25" s="6"/>
      <c r="BO25" s="6"/>
      <c r="BP25" s="5" t="s">
        <v>48</v>
      </c>
      <c r="BQ25" s="5" t="s">
        <v>49</v>
      </c>
      <c r="BR25" s="5" t="s">
        <v>53</v>
      </c>
      <c r="BS25" s="6"/>
      <c r="BT25" s="6">
        <v>10</v>
      </c>
      <c r="BU25" s="6">
        <f t="shared" si="3"/>
        <v>40</v>
      </c>
      <c r="BV25" s="6">
        <v>4.0250000000000001E-2</v>
      </c>
      <c r="BW25" s="6">
        <v>4.0250000000000001E-2</v>
      </c>
      <c r="BX25" s="12">
        <v>5.6989999999999999E-2</v>
      </c>
      <c r="BY25" s="6">
        <v>5.9409999999999998E-2</v>
      </c>
      <c r="BZ25" s="6">
        <v>5.2089999999999997E-2</v>
      </c>
      <c r="CA25" s="6">
        <v>6.3200000000000006E-2</v>
      </c>
      <c r="CB25" s="6">
        <v>5.042E-2</v>
      </c>
      <c r="CC25" s="6">
        <v>2.206E-2</v>
      </c>
      <c r="CD25" s="6">
        <v>2.1299999999999999E-2</v>
      </c>
      <c r="CE25" s="6">
        <f t="shared" si="6"/>
        <v>9.0670000000000001E-2</v>
      </c>
      <c r="CF25" s="5" t="s">
        <v>48</v>
      </c>
      <c r="CG25" s="5" t="s">
        <v>49</v>
      </c>
      <c r="CH25" s="5" t="s">
        <v>53</v>
      </c>
      <c r="CI25" s="6"/>
      <c r="CJ25" s="5" t="s">
        <v>48</v>
      </c>
      <c r="CK25" s="5" t="s">
        <v>49</v>
      </c>
      <c r="CL25" s="5" t="s">
        <v>53</v>
      </c>
      <c r="CM25" s="6"/>
      <c r="CN25" s="5" t="s">
        <v>48</v>
      </c>
      <c r="CO25" s="5" t="s">
        <v>49</v>
      </c>
      <c r="CP25" s="5" t="s">
        <v>53</v>
      </c>
      <c r="CQ25" s="6"/>
      <c r="CR25" s="6"/>
      <c r="CS25" s="16"/>
      <c r="CT25" s="6"/>
      <c r="CU25" s="6"/>
      <c r="CV25" s="17"/>
      <c r="CW25" s="17"/>
      <c r="DG25" s="19">
        <v>16</v>
      </c>
      <c r="DH25" s="6">
        <f>DG25/$B$1</f>
        <v>64</v>
      </c>
      <c r="DI25" s="6">
        <v>0.35088999999999998</v>
      </c>
      <c r="DL25" s="19">
        <v>0</v>
      </c>
      <c r="DM25" s="6">
        <f>DL25/$B$1</f>
        <v>0</v>
      </c>
      <c r="DN25" s="6">
        <v>0.29025000000000001</v>
      </c>
      <c r="DP25" s="19" t="s">
        <v>124</v>
      </c>
      <c r="DQ25" s="6" t="s">
        <v>129</v>
      </c>
      <c r="DR25" s="6">
        <v>17.47</v>
      </c>
      <c r="DS25" s="6">
        <f>DR25/mo</f>
        <v>0.5727868852459016</v>
      </c>
      <c r="DU25" s="19" t="s">
        <v>124</v>
      </c>
      <c r="DV25" s="6" t="s">
        <v>133</v>
      </c>
      <c r="DW25" s="6">
        <f>26.07+2.22</f>
        <v>28.29</v>
      </c>
      <c r="DX25" s="6">
        <f>DW25/mo</f>
        <v>0.92754098360655735</v>
      </c>
      <c r="DZ25" s="19" t="s">
        <v>124</v>
      </c>
      <c r="EA25" s="6" t="s">
        <v>138</v>
      </c>
      <c r="EB25" s="6">
        <f>11.06+3.04</f>
        <v>14.100000000000001</v>
      </c>
      <c r="EC25" s="6">
        <f>EB25/mo+0.54</f>
        <v>1.0022950819672132</v>
      </c>
      <c r="ED25" s="6"/>
      <c r="EE25" s="19" t="s">
        <v>124</v>
      </c>
      <c r="EF25" s="6" t="s">
        <v>133</v>
      </c>
      <c r="EG25" s="6">
        <f>28.04+2.24</f>
        <v>30.28</v>
      </c>
      <c r="EH25" s="6">
        <f>EG25/mo</f>
        <v>0.99278688524590164</v>
      </c>
      <c r="EI25" s="6"/>
      <c r="EJ25" s="19" t="s">
        <v>124</v>
      </c>
      <c r="EK25" s="6" t="s">
        <v>138</v>
      </c>
      <c r="EL25" s="6">
        <f>12.88+3.08</f>
        <v>15.96</v>
      </c>
      <c r="EM25" s="6">
        <f>EL25/mo+0.56</f>
        <v>1.0832786885245902</v>
      </c>
      <c r="EN25" s="16">
        <v>21</v>
      </c>
      <c r="EO25" s="6">
        <f>EN25/$B$1</f>
        <v>84</v>
      </c>
      <c r="EP25" s="6">
        <v>0.11207</v>
      </c>
      <c r="ER25" s="17"/>
      <c r="ES25" s="19">
        <v>21</v>
      </c>
      <c r="ET25" s="6">
        <f>ES25/$B$1</f>
        <v>84</v>
      </c>
      <c r="EU25" s="6">
        <v>0.11501</v>
      </c>
      <c r="EX25" s="19">
        <v>21</v>
      </c>
      <c r="EY25" s="6">
        <f>EX25/$B$1</f>
        <v>84</v>
      </c>
      <c r="EZ25" s="6">
        <v>0.10442</v>
      </c>
      <c r="FC25" s="19">
        <v>21</v>
      </c>
      <c r="FD25" s="19">
        <f>FC25/$B$1</f>
        <v>84</v>
      </c>
      <c r="FE25" s="6">
        <f>0.12729+0.11656</f>
        <v>0.24384999999999998</v>
      </c>
    </row>
    <row r="26" spans="1:162" x14ac:dyDescent="0.2">
      <c r="A26" s="6">
        <v>0</v>
      </c>
      <c r="B26" s="6">
        <v>0</v>
      </c>
      <c r="C26" s="6">
        <f>0.11979+0.08325</f>
        <v>0.20304</v>
      </c>
      <c r="D26" s="6"/>
      <c r="E26" s="6">
        <v>0</v>
      </c>
      <c r="F26" s="6">
        <v>0</v>
      </c>
      <c r="G26" s="6">
        <f>0.04699+0.076</f>
        <v>0.12298999999999999</v>
      </c>
      <c r="H26" s="6"/>
      <c r="I26" s="6">
        <v>11</v>
      </c>
      <c r="J26" s="6">
        <f t="shared" si="0"/>
        <v>44</v>
      </c>
      <c r="K26" s="6">
        <f t="shared" si="4"/>
        <v>4.6989999999999997E-2</v>
      </c>
      <c r="L26" s="6">
        <v>4.1889999999999997E-2</v>
      </c>
      <c r="M26" s="6">
        <v>6.9809999999999997E-2</v>
      </c>
      <c r="N26" s="6">
        <v>7.3709999999999998E-2</v>
      </c>
      <c r="O26" s="6">
        <v>6.5320000000000003E-2</v>
      </c>
      <c r="P26" s="6">
        <v>7.4039999999999995E-2</v>
      </c>
      <c r="Q26" s="6">
        <v>5.527E-2</v>
      </c>
      <c r="R26" s="6">
        <v>2.1219999999999999E-2</v>
      </c>
      <c r="S26" s="6">
        <v>2.1059999999999999E-2</v>
      </c>
      <c r="T26" s="6"/>
      <c r="U26" s="6">
        <v>0</v>
      </c>
      <c r="V26" s="6">
        <v>0</v>
      </c>
      <c r="W26" s="6">
        <f>0.05245+0.07196</f>
        <v>0.12440999999999999</v>
      </c>
      <c r="X26" s="6"/>
      <c r="Y26" s="6"/>
      <c r="Z26" s="6">
        <v>0</v>
      </c>
      <c r="AA26" s="6">
        <v>0</v>
      </c>
      <c r="AB26" s="6">
        <f>0.04605+0.07196</f>
        <v>0.11801</v>
      </c>
      <c r="AC26" s="6"/>
      <c r="AD26" s="6">
        <v>11</v>
      </c>
      <c r="AE26" s="6">
        <f t="shared" si="1"/>
        <v>44</v>
      </c>
      <c r="AF26" s="6">
        <f t="shared" si="5"/>
        <v>4.6050000000000001E-2</v>
      </c>
      <c r="AG26" s="6">
        <f t="shared" si="5"/>
        <v>4.6050000000000001E-2</v>
      </c>
      <c r="AH26" s="6">
        <v>6.6159999999999997E-2</v>
      </c>
      <c r="AI26" s="6">
        <v>6.9860000000000005E-2</v>
      </c>
      <c r="AJ26" s="6">
        <v>6.191E-2</v>
      </c>
      <c r="AK26" s="6">
        <v>7.0169999999999996E-2</v>
      </c>
      <c r="AL26" s="6">
        <v>5.2380000000000003E-2</v>
      </c>
      <c r="AM26" s="6">
        <v>2.0109999999999999E-2</v>
      </c>
      <c r="AN26" s="6">
        <v>1.9959999999999999E-2</v>
      </c>
      <c r="AO26" s="6"/>
      <c r="AP26" s="6">
        <v>0</v>
      </c>
      <c r="AQ26" s="6">
        <v>0</v>
      </c>
      <c r="AR26" s="6">
        <f>0.04805+0.06747</f>
        <v>0.11552000000000001</v>
      </c>
      <c r="AS26" s="6"/>
      <c r="AT26" s="6"/>
      <c r="AU26" s="6">
        <v>0</v>
      </c>
      <c r="AV26" s="6">
        <v>0</v>
      </c>
      <c r="AW26" s="6">
        <f>0.04277+0.06747</f>
        <v>0.11024</v>
      </c>
      <c r="AX26" s="6"/>
      <c r="AY26" s="6">
        <v>11</v>
      </c>
      <c r="AZ26" s="6">
        <f t="shared" si="2"/>
        <v>44</v>
      </c>
      <c r="BA26" s="6">
        <v>4.2770000000000002E-2</v>
      </c>
      <c r="BB26" s="6">
        <v>4.2770000000000002E-2</v>
      </c>
      <c r="BC26" s="6">
        <v>6.173E-2</v>
      </c>
      <c r="BD26" s="6">
        <v>6.5180000000000002E-2</v>
      </c>
      <c r="BE26" s="6">
        <v>5.7759999999999999E-2</v>
      </c>
      <c r="BF26" s="6">
        <v>6.547E-2</v>
      </c>
      <c r="BG26" s="6">
        <v>4.8869999999999997E-2</v>
      </c>
      <c r="BH26" s="6">
        <v>1.8759999999999999E-2</v>
      </c>
      <c r="BI26" s="6">
        <v>1.8620000000000001E-2</v>
      </c>
      <c r="BJ26" s="6"/>
      <c r="BK26" s="6">
        <v>0</v>
      </c>
      <c r="BL26" s="6">
        <v>0</v>
      </c>
      <c r="BM26" s="6">
        <f>0.04025+0.06083</f>
        <v>0.10108</v>
      </c>
      <c r="BN26" s="6"/>
      <c r="BO26" s="6"/>
      <c r="BP26" s="6">
        <v>0</v>
      </c>
      <c r="BQ26" s="6">
        <v>0</v>
      </c>
      <c r="BR26" s="6">
        <f>0.04443+0.06083</f>
        <v>0.10525999999999999</v>
      </c>
      <c r="BS26" s="6"/>
      <c r="BT26" s="6">
        <v>11</v>
      </c>
      <c r="BU26" s="6">
        <f t="shared" si="3"/>
        <v>44</v>
      </c>
      <c r="BV26" s="6">
        <v>4.0250000000000001E-2</v>
      </c>
      <c r="BW26" s="6">
        <v>4.0250000000000001E-2</v>
      </c>
      <c r="BX26" s="12">
        <v>5.7259999999999998E-2</v>
      </c>
      <c r="BY26" s="6">
        <v>6.0449999999999997E-2</v>
      </c>
      <c r="BZ26" s="6">
        <v>5.3580000000000003E-2</v>
      </c>
      <c r="CA26" s="6">
        <v>6.0720000000000003E-2</v>
      </c>
      <c r="CB26" s="6">
        <v>4.5330000000000002E-2</v>
      </c>
      <c r="CC26" s="6">
        <v>1.7399999999999999E-2</v>
      </c>
      <c r="CD26" s="6">
        <v>1.7270000000000001E-2</v>
      </c>
      <c r="CE26" s="6">
        <f t="shared" si="6"/>
        <v>8.5580000000000003E-2</v>
      </c>
      <c r="CF26" s="6">
        <v>0</v>
      </c>
      <c r="CG26" s="6">
        <f>CF26/ts</f>
        <v>0</v>
      </c>
      <c r="CH26" s="6">
        <f>0.09451+0.09642</f>
        <v>0.19092999999999999</v>
      </c>
      <c r="CI26" s="6"/>
      <c r="CJ26" s="6">
        <v>0</v>
      </c>
      <c r="CK26" s="6">
        <f>CJ26/ts</f>
        <v>0</v>
      </c>
      <c r="CL26" s="6">
        <f>0.09596+0.09148</f>
        <v>0.18744</v>
      </c>
      <c r="CN26" s="6">
        <v>0</v>
      </c>
      <c r="CO26" s="6">
        <f>CN26/ts</f>
        <v>0</v>
      </c>
      <c r="CP26" s="6">
        <f>0.07922+0.07396</f>
        <v>0.15317999999999998</v>
      </c>
      <c r="CS26" s="16"/>
      <c r="CT26" s="6"/>
      <c r="CU26" s="6"/>
      <c r="CV26" s="17"/>
      <c r="CW26" s="17"/>
      <c r="DC26" s="18" t="s">
        <v>48</v>
      </c>
      <c r="DD26" s="5" t="s">
        <v>49</v>
      </c>
      <c r="DE26" s="5" t="s">
        <v>122</v>
      </c>
      <c r="DG26" s="19">
        <v>21</v>
      </c>
      <c r="DH26" s="6">
        <f>DG26/$B$1</f>
        <v>84</v>
      </c>
      <c r="DI26" s="6">
        <v>0.23233999999999999</v>
      </c>
      <c r="DL26" s="19">
        <v>9</v>
      </c>
      <c r="DM26" s="6">
        <f>DL26/$B$1</f>
        <v>36</v>
      </c>
      <c r="DN26" s="6">
        <v>0.27383000000000002</v>
      </c>
      <c r="DP26" s="18" t="s">
        <v>48</v>
      </c>
      <c r="DQ26" s="5" t="s">
        <v>49</v>
      </c>
      <c r="DR26" s="5" t="s">
        <v>122</v>
      </c>
      <c r="DU26" s="18" t="s">
        <v>48</v>
      </c>
      <c r="DV26" s="5" t="s">
        <v>49</v>
      </c>
      <c r="DW26" s="5" t="s">
        <v>122</v>
      </c>
      <c r="DZ26" s="18" t="s">
        <v>48</v>
      </c>
      <c r="EA26" s="5" t="s">
        <v>49</v>
      </c>
      <c r="EB26" s="5" t="s">
        <v>122</v>
      </c>
      <c r="EE26" s="18" t="s">
        <v>48</v>
      </c>
      <c r="EF26" s="5" t="s">
        <v>49</v>
      </c>
      <c r="EG26" s="5" t="s">
        <v>122</v>
      </c>
      <c r="EJ26" s="18" t="s">
        <v>48</v>
      </c>
      <c r="EK26" s="5" t="s">
        <v>49</v>
      </c>
      <c r="EL26" s="5" t="s">
        <v>122</v>
      </c>
      <c r="EN26" s="16" t="s">
        <v>145</v>
      </c>
      <c r="EO26" s="6" t="s">
        <v>146</v>
      </c>
      <c r="EP26">
        <f>30.68/10+5.99</f>
        <v>9.0579999999999998</v>
      </c>
      <c r="EQ26" s="6">
        <f>EP26/mo</f>
        <v>0.29698360655737704</v>
      </c>
      <c r="ER26" s="17"/>
      <c r="ES26" s="19" t="s">
        <v>145</v>
      </c>
      <c r="ET26" s="6" t="s">
        <v>155</v>
      </c>
      <c r="EU26">
        <f>31.32+27.8+12.18</f>
        <v>71.300000000000011</v>
      </c>
      <c r="EV26" s="6">
        <f>EU26/mo</f>
        <v>2.3377049180327871</v>
      </c>
      <c r="EX26" s="19" t="s">
        <v>145</v>
      </c>
      <c r="EY26" s="6" t="s">
        <v>157</v>
      </c>
      <c r="EZ26">
        <f>18.63+26.81+34.2</f>
        <v>79.64</v>
      </c>
      <c r="FA26" s="6">
        <f>EZ26/mo</f>
        <v>2.6111475409836067</v>
      </c>
      <c r="FC26" t="s">
        <v>152</v>
      </c>
      <c r="FD26" t="s">
        <v>153</v>
      </c>
      <c r="FE26" s="6">
        <v>4.57</v>
      </c>
      <c r="FF26">
        <f>FE26/mo</f>
        <v>0.14983606557377049</v>
      </c>
    </row>
    <row r="27" spans="1:162" x14ac:dyDescent="0.2">
      <c r="A27" s="6">
        <v>8</v>
      </c>
      <c r="B27" s="6">
        <v>32</v>
      </c>
      <c r="C27" s="6">
        <f>0.11048+0.05336</f>
        <v>0.16383999999999999</v>
      </c>
      <c r="D27" s="6"/>
      <c r="E27" s="6">
        <v>8</v>
      </c>
      <c r="F27" s="6">
        <v>32</v>
      </c>
      <c r="G27" s="6">
        <f>0.04189+0.05721</f>
        <v>9.9099999999999994E-2</v>
      </c>
      <c r="H27" s="6"/>
      <c r="I27" s="6">
        <v>12</v>
      </c>
      <c r="J27" s="6">
        <f t="shared" si="0"/>
        <v>48</v>
      </c>
      <c r="K27" s="6">
        <f t="shared" si="4"/>
        <v>4.6989999999999997E-2</v>
      </c>
      <c r="L27" s="6">
        <v>4.1889999999999997E-2</v>
      </c>
      <c r="M27" s="6">
        <v>7.1050000000000002E-2</v>
      </c>
      <c r="N27" s="6">
        <v>7.5319999999999998E-2</v>
      </c>
      <c r="O27" s="6">
        <v>6.5589999999999996E-2</v>
      </c>
      <c r="P27" s="6">
        <v>7.2559999999999999E-2</v>
      </c>
      <c r="Q27" s="6">
        <v>4.9959999999999997E-2</v>
      </c>
      <c r="R27" s="6">
        <v>2.1479999999999999E-2</v>
      </c>
      <c r="S27" s="6">
        <v>2.2890000000000001E-2</v>
      </c>
      <c r="T27" s="6"/>
      <c r="U27" s="6">
        <v>8</v>
      </c>
      <c r="V27" s="6">
        <v>32</v>
      </c>
      <c r="W27" s="6">
        <f>0.06798+0.0461</f>
        <v>0.11408</v>
      </c>
      <c r="X27" s="6"/>
      <c r="Y27" s="6"/>
      <c r="Z27" s="6">
        <v>8</v>
      </c>
      <c r="AA27" s="6">
        <v>32</v>
      </c>
      <c r="AB27" s="6">
        <f>0.04605+0.0461</f>
        <v>9.215000000000001E-2</v>
      </c>
      <c r="AC27" s="6"/>
      <c r="AD27" s="6">
        <v>12</v>
      </c>
      <c r="AE27" s="6">
        <f t="shared" si="1"/>
        <v>48</v>
      </c>
      <c r="AF27" s="6">
        <f t="shared" si="5"/>
        <v>4.6050000000000001E-2</v>
      </c>
      <c r="AG27" s="6">
        <f t="shared" si="5"/>
        <v>4.6050000000000001E-2</v>
      </c>
      <c r="AH27" s="6">
        <v>6.7330000000000001E-2</v>
      </c>
      <c r="AI27" s="6">
        <v>7.1379999999999999E-2</v>
      </c>
      <c r="AJ27" s="6">
        <v>6.216E-2</v>
      </c>
      <c r="AK27" s="6">
        <v>6.8769999999999998E-2</v>
      </c>
      <c r="AL27" s="6">
        <v>4.7350000000000003E-2</v>
      </c>
      <c r="AM27" s="6">
        <v>2.036E-2</v>
      </c>
      <c r="AN27" s="6">
        <v>2.1690000000000001E-2</v>
      </c>
      <c r="AO27" s="6"/>
      <c r="AP27" s="6">
        <v>8</v>
      </c>
      <c r="AQ27" s="6">
        <v>32</v>
      </c>
      <c r="AR27" s="6">
        <f>0.06233+0.04329</f>
        <v>0.10562000000000001</v>
      </c>
      <c r="AS27" s="6"/>
      <c r="AT27" s="6"/>
      <c r="AU27" s="6">
        <v>8</v>
      </c>
      <c r="AV27" s="6">
        <v>32</v>
      </c>
      <c r="AW27" s="6">
        <f>0.04277+0.04329</f>
        <v>8.6059999999999998E-2</v>
      </c>
      <c r="AX27" s="6"/>
      <c r="AY27" s="6">
        <v>12</v>
      </c>
      <c r="AZ27" s="6">
        <f t="shared" si="2"/>
        <v>48</v>
      </c>
      <c r="BA27" s="6">
        <v>4.2770000000000002E-2</v>
      </c>
      <c r="BB27" s="6">
        <v>4.2770000000000002E-2</v>
      </c>
      <c r="BC27" s="6">
        <v>6.2820000000000001E-2</v>
      </c>
      <c r="BD27" s="6">
        <v>6.6600000000000006E-2</v>
      </c>
      <c r="BE27" s="6">
        <v>5.799E-2</v>
      </c>
      <c r="BF27" s="6">
        <v>6.4159999999999995E-2</v>
      </c>
      <c r="BG27" s="6">
        <v>4.4179999999999997E-2</v>
      </c>
      <c r="BH27" s="6">
        <v>1.899E-2</v>
      </c>
      <c r="BI27" s="6">
        <v>2.0240000000000001E-2</v>
      </c>
      <c r="BJ27" s="6"/>
      <c r="BK27" s="6">
        <v>8</v>
      </c>
      <c r="BL27" s="6">
        <v>32</v>
      </c>
      <c r="BM27" s="6">
        <f>0.04025+0.03899</f>
        <v>7.9240000000000005E-2</v>
      </c>
      <c r="BN27" s="6"/>
      <c r="BO27" s="6"/>
      <c r="BP27" s="6">
        <v>8</v>
      </c>
      <c r="BQ27" s="6">
        <v>32</v>
      </c>
      <c r="BR27" s="6">
        <f>0.05857+0.03899</f>
        <v>9.7559999999999994E-2</v>
      </c>
      <c r="BS27" s="6"/>
      <c r="BT27" s="6">
        <v>12</v>
      </c>
      <c r="BU27" s="6">
        <f t="shared" si="3"/>
        <v>48</v>
      </c>
      <c r="BV27" s="6">
        <v>4.0250000000000001E-2</v>
      </c>
      <c r="BW27" s="6">
        <v>4.0250000000000001E-2</v>
      </c>
      <c r="BX27" s="12">
        <v>5.8270000000000002E-2</v>
      </c>
      <c r="BY27" s="6">
        <v>6.1769999999999999E-2</v>
      </c>
      <c r="BZ27" s="6">
        <v>5.3789999999999998E-2</v>
      </c>
      <c r="CA27" s="6">
        <v>5.951E-2</v>
      </c>
      <c r="CB27" s="6">
        <v>4.0980000000000003E-2</v>
      </c>
      <c r="CC27" s="6">
        <v>1.762E-2</v>
      </c>
      <c r="CD27" s="6">
        <v>1.8769999999999998E-2</v>
      </c>
      <c r="CE27" s="6">
        <f t="shared" si="6"/>
        <v>8.1229999999999997E-2</v>
      </c>
      <c r="CF27" s="6">
        <v>8</v>
      </c>
      <c r="CG27" s="6">
        <f>CF27/ts</f>
        <v>32</v>
      </c>
      <c r="CH27" s="6">
        <f>0.06292+0.05336</f>
        <v>0.11627999999999999</v>
      </c>
      <c r="CI27" s="6"/>
      <c r="CJ27" s="6">
        <v>8</v>
      </c>
      <c r="CK27" s="6">
        <f>CJ27/ts</f>
        <v>32</v>
      </c>
      <c r="CL27" s="6">
        <f>0.06181+0.0461</f>
        <v>0.10791000000000001</v>
      </c>
      <c r="CN27" s="6">
        <v>8</v>
      </c>
      <c r="CO27" s="6">
        <f>CN27/ts</f>
        <v>32</v>
      </c>
      <c r="CP27" s="6">
        <f>0.05525+0.03899</f>
        <v>9.423999999999999E-2</v>
      </c>
      <c r="CS27" s="16"/>
      <c r="CT27" s="6"/>
      <c r="CU27" s="6"/>
      <c r="CV27" s="17"/>
      <c r="CW27" s="17"/>
      <c r="DC27" s="19">
        <v>0</v>
      </c>
      <c r="DD27" s="6">
        <f>DC27/$B$1</f>
        <v>0</v>
      </c>
      <c r="DE27" s="6">
        <v>0.29674</v>
      </c>
      <c r="DG27" s="19" t="s">
        <v>124</v>
      </c>
      <c r="DH27" s="6" t="s">
        <v>125</v>
      </c>
      <c r="DI27" s="6">
        <v>4.75</v>
      </c>
      <c r="DJ27" s="6">
        <f>DI27/mo</f>
        <v>0.15573770491803279</v>
      </c>
      <c r="DL27" s="19">
        <v>14</v>
      </c>
      <c r="DM27" s="6">
        <f>DL27/$B$1</f>
        <v>56</v>
      </c>
      <c r="DN27" s="6">
        <v>0.29025000000000001</v>
      </c>
      <c r="DP27" s="19">
        <v>0</v>
      </c>
      <c r="DQ27" s="6">
        <f>DP27/$B$1</f>
        <v>0</v>
      </c>
      <c r="DR27" s="6">
        <v>0.20236000000000001</v>
      </c>
      <c r="DU27" s="19">
        <v>0</v>
      </c>
      <c r="DV27" s="6">
        <f>DU27/$B$1</f>
        <v>0</v>
      </c>
      <c r="DW27" s="6">
        <v>0.13236000000000001</v>
      </c>
      <c r="DZ27" s="19">
        <v>0</v>
      </c>
      <c r="EA27" s="6">
        <f>DZ27/$B$1</f>
        <v>0</v>
      </c>
      <c r="EB27" s="6">
        <v>0.14729999999999999</v>
      </c>
      <c r="EE27" s="19">
        <v>0</v>
      </c>
      <c r="EF27" s="6">
        <f>EE27/$B$1</f>
        <v>0</v>
      </c>
      <c r="EG27" s="6">
        <v>0.12672</v>
      </c>
      <c r="EJ27" s="19">
        <v>0</v>
      </c>
      <c r="EK27" s="6">
        <f>EJ27/$B$1</f>
        <v>0</v>
      </c>
      <c r="EL27" s="6">
        <v>0.13627</v>
      </c>
      <c r="ER27" s="17"/>
      <c r="ES27" s="17"/>
      <c r="EX27" s="17"/>
    </row>
    <row r="28" spans="1:162" x14ac:dyDescent="0.2">
      <c r="A28" s="6">
        <v>16</v>
      </c>
      <c r="B28" s="6">
        <v>64</v>
      </c>
      <c r="C28" s="6">
        <f>0.18194+0.1733</f>
        <v>0.35524</v>
      </c>
      <c r="D28" s="6"/>
      <c r="E28" s="6">
        <v>16</v>
      </c>
      <c r="F28" s="6">
        <v>64</v>
      </c>
      <c r="G28" s="6">
        <f>0.08218+0.10637</f>
        <v>0.18855</v>
      </c>
      <c r="H28" s="6"/>
      <c r="I28" s="6">
        <v>13</v>
      </c>
      <c r="J28" s="6">
        <f t="shared" si="0"/>
        <v>52</v>
      </c>
      <c r="K28" s="6">
        <f t="shared" si="4"/>
        <v>4.6989999999999997E-2</v>
      </c>
      <c r="L28" s="6">
        <v>4.1889999999999997E-2</v>
      </c>
      <c r="M28" s="6">
        <v>7.5249999999999997E-2</v>
      </c>
      <c r="N28" s="6">
        <v>7.8619999999999995E-2</v>
      </c>
      <c r="O28" s="6">
        <v>6.9879999999999998E-2</v>
      </c>
      <c r="P28" s="6">
        <v>7.2830000000000006E-2</v>
      </c>
      <c r="Q28" s="6">
        <v>5.3969999999999997E-2</v>
      </c>
      <c r="R28" s="6">
        <v>2.8389999999999999E-2</v>
      </c>
      <c r="S28" s="6">
        <v>3.4139999999999997E-2</v>
      </c>
      <c r="T28" s="6"/>
      <c r="U28" s="6">
        <v>16</v>
      </c>
      <c r="V28" s="6">
        <v>64</v>
      </c>
      <c r="W28" s="6">
        <f>0.08251+0.13565</f>
        <v>0.21815999999999999</v>
      </c>
      <c r="X28" s="6"/>
      <c r="Y28" s="6"/>
      <c r="Z28" s="6">
        <v>16</v>
      </c>
      <c r="AA28" s="6">
        <v>64</v>
      </c>
      <c r="AB28" s="6">
        <f>0.04605+0.08572</f>
        <v>0.13177</v>
      </c>
      <c r="AC28" s="6"/>
      <c r="AD28" s="6">
        <v>13</v>
      </c>
      <c r="AE28" s="6">
        <f t="shared" si="1"/>
        <v>52</v>
      </c>
      <c r="AF28" s="6">
        <f t="shared" si="5"/>
        <v>4.6050000000000001E-2</v>
      </c>
      <c r="AG28" s="6">
        <f t="shared" si="5"/>
        <v>4.6050000000000001E-2</v>
      </c>
      <c r="AH28" s="6">
        <v>7.1319999999999995E-2</v>
      </c>
      <c r="AI28" s="6">
        <v>7.4510000000000007E-2</v>
      </c>
      <c r="AJ28" s="6">
        <v>6.6229999999999997E-2</v>
      </c>
      <c r="AK28" s="6">
        <v>6.9019999999999998E-2</v>
      </c>
      <c r="AL28" s="6">
        <v>5.1150000000000001E-2</v>
      </c>
      <c r="AM28" s="6">
        <v>0.26910000000000001</v>
      </c>
      <c r="AN28" s="6">
        <v>3.2349999999999997E-2</v>
      </c>
      <c r="AO28" s="6"/>
      <c r="AP28" s="6">
        <v>16</v>
      </c>
      <c r="AQ28" s="6">
        <v>64</v>
      </c>
      <c r="AR28" s="6">
        <f>0.07609+0.11852</f>
        <v>0.19461000000000001</v>
      </c>
      <c r="AS28" s="6"/>
      <c r="AT28" s="6"/>
      <c r="AU28" s="6">
        <v>16</v>
      </c>
      <c r="AV28" s="6">
        <v>64</v>
      </c>
      <c r="AW28" s="6">
        <f>0.04277+0.08038</f>
        <v>0.12315</v>
      </c>
      <c r="AX28" s="6"/>
      <c r="AY28" s="6">
        <v>13</v>
      </c>
      <c r="AZ28" s="6">
        <f t="shared" si="2"/>
        <v>52</v>
      </c>
      <c r="BA28" s="6">
        <v>4.2770000000000002E-2</v>
      </c>
      <c r="BB28" s="6">
        <v>4.2770000000000002E-2</v>
      </c>
      <c r="BC28" s="6">
        <v>6.6540000000000002E-2</v>
      </c>
      <c r="BD28" s="6">
        <v>6.9519999999999998E-2</v>
      </c>
      <c r="BE28" s="6">
        <v>6.1789999999999998E-2</v>
      </c>
      <c r="BF28" s="6">
        <v>6.4399999999999999E-2</v>
      </c>
      <c r="BG28" s="6">
        <v>4.7719999999999999E-2</v>
      </c>
      <c r="BH28" s="6">
        <v>2.511E-2</v>
      </c>
      <c r="BI28" s="6">
        <v>3.0179999999999998E-2</v>
      </c>
      <c r="BJ28" s="6"/>
      <c r="BK28" s="6">
        <v>16</v>
      </c>
      <c r="BL28" s="6">
        <v>64</v>
      </c>
      <c r="BM28" s="6">
        <f>0.04025+0.07246</f>
        <v>0.11271</v>
      </c>
      <c r="BN28" s="6"/>
      <c r="BO28" s="6"/>
      <c r="BP28" s="6">
        <v>16</v>
      </c>
      <c r="BQ28" s="6">
        <v>64</v>
      </c>
      <c r="BR28" s="6">
        <f>0.06971+0.11669</f>
        <v>0.18640000000000001</v>
      </c>
      <c r="BS28" s="6"/>
      <c r="BT28" s="6">
        <v>13</v>
      </c>
      <c r="BU28" s="6">
        <f t="shared" si="3"/>
        <v>52</v>
      </c>
      <c r="BV28" s="6">
        <v>4.0250000000000001E-2</v>
      </c>
      <c r="BW28" s="6">
        <v>4.0250000000000001E-2</v>
      </c>
      <c r="BX28" s="12">
        <v>6.1719999999999997E-2</v>
      </c>
      <c r="BY28" s="6">
        <v>6.4479999999999996E-2</v>
      </c>
      <c r="BZ28" s="6">
        <v>5.731E-2</v>
      </c>
      <c r="CA28" s="6">
        <v>5.9729999999999998E-2</v>
      </c>
      <c r="CB28" s="6">
        <v>4.4260000000000001E-2</v>
      </c>
      <c r="CC28" s="6">
        <v>2.3290000000000002E-2</v>
      </c>
      <c r="CD28" s="6">
        <v>2.8000000000000001E-2</v>
      </c>
      <c r="CE28" s="6">
        <f t="shared" si="6"/>
        <v>8.4510000000000002E-2</v>
      </c>
      <c r="CF28" s="6">
        <v>16</v>
      </c>
      <c r="CG28" s="6">
        <f>CF28/ts</f>
        <v>64</v>
      </c>
      <c r="CH28" s="6">
        <f>0.28607+0.1733</f>
        <v>0.45937</v>
      </c>
      <c r="CI28" s="6"/>
      <c r="CJ28" s="6">
        <v>16</v>
      </c>
      <c r="CK28" s="6">
        <f>CJ28/ts</f>
        <v>64</v>
      </c>
      <c r="CL28" s="6">
        <f>0.29298+0.14875</f>
        <v>0.44173000000000001</v>
      </c>
      <c r="CN28" s="6">
        <v>16</v>
      </c>
      <c r="CO28" s="6">
        <f>CN28/ts</f>
        <v>64</v>
      </c>
      <c r="CP28" s="6">
        <f>0.24768+0.12829</f>
        <v>0.37597000000000003</v>
      </c>
      <c r="CS28" s="16"/>
      <c r="CT28" s="6"/>
      <c r="CU28" s="6"/>
      <c r="DC28" s="19">
        <v>9</v>
      </c>
      <c r="DD28" s="6">
        <f>DC28/$B$1</f>
        <v>36</v>
      </c>
      <c r="DE28" s="6">
        <v>0.28032000000000001</v>
      </c>
      <c r="DG28" s="18" t="s">
        <v>48</v>
      </c>
      <c r="DH28" s="5" t="s">
        <v>49</v>
      </c>
      <c r="DI28" s="5" t="s">
        <v>122</v>
      </c>
      <c r="DL28" s="19">
        <v>16</v>
      </c>
      <c r="DM28" s="6">
        <f>DL28/$B$1</f>
        <v>64</v>
      </c>
      <c r="DN28" s="6">
        <v>0.30998999999999999</v>
      </c>
      <c r="DP28" s="19">
        <v>9</v>
      </c>
      <c r="DQ28" s="6">
        <f>DP28/$B$1</f>
        <v>36</v>
      </c>
      <c r="DR28" s="6">
        <v>0.16602</v>
      </c>
      <c r="DU28" s="19">
        <v>9</v>
      </c>
      <c r="DV28" s="6">
        <f>DU28/$B$1</f>
        <v>36</v>
      </c>
      <c r="DW28" s="6">
        <v>7.8719999999999998E-2</v>
      </c>
      <c r="DZ28" s="19">
        <v>9</v>
      </c>
      <c r="EA28" s="6">
        <f>DZ28/$B$1</f>
        <v>36</v>
      </c>
      <c r="EB28" s="6">
        <v>0.11148</v>
      </c>
      <c r="EE28" s="19">
        <v>9</v>
      </c>
      <c r="EF28" s="6">
        <f>EE28/$B$1</f>
        <v>36</v>
      </c>
      <c r="EG28" s="6">
        <v>7.2969999999999993E-2</v>
      </c>
      <c r="EJ28" s="19">
        <v>9</v>
      </c>
      <c r="EK28" s="6">
        <f>EJ28/$B$1</f>
        <v>36</v>
      </c>
      <c r="EL28" s="6">
        <v>0.10052</v>
      </c>
      <c r="EN28" s="14" t="s">
        <v>48</v>
      </c>
      <c r="EO28" s="5" t="s">
        <v>49</v>
      </c>
      <c r="EP28" s="5" t="s">
        <v>147</v>
      </c>
      <c r="ER28" s="17"/>
      <c r="ES28" s="18" t="s">
        <v>48</v>
      </c>
      <c r="ET28" s="5" t="s">
        <v>49</v>
      </c>
      <c r="EU28" s="5" t="s">
        <v>147</v>
      </c>
      <c r="EX28" s="18" t="s">
        <v>48</v>
      </c>
      <c r="EY28" s="5" t="s">
        <v>49</v>
      </c>
      <c r="EZ28" s="5" t="s">
        <v>147</v>
      </c>
      <c r="FC28" s="18" t="s">
        <v>48</v>
      </c>
      <c r="FD28" s="18" t="s">
        <v>49</v>
      </c>
      <c r="FE28" s="5" t="s">
        <v>147</v>
      </c>
    </row>
    <row r="29" spans="1:162" x14ac:dyDescent="0.2">
      <c r="A29" s="6">
        <v>21</v>
      </c>
      <c r="B29" s="6">
        <v>84</v>
      </c>
      <c r="C29" s="6">
        <f>0.11979+0.08325</f>
        <v>0.20304</v>
      </c>
      <c r="D29" s="6"/>
      <c r="E29" s="6">
        <v>21</v>
      </c>
      <c r="F29" s="6">
        <v>84</v>
      </c>
      <c r="G29" s="6">
        <f>0.04699+0.076</f>
        <v>0.12298999999999999</v>
      </c>
      <c r="H29" s="6"/>
      <c r="I29" s="6">
        <v>14</v>
      </c>
      <c r="J29" s="6">
        <f t="shared" si="0"/>
        <v>56</v>
      </c>
      <c r="K29" s="6">
        <f t="shared" si="4"/>
        <v>4.6989999999999997E-2</v>
      </c>
      <c r="L29" s="6">
        <v>4.1889999999999997E-2</v>
      </c>
      <c r="M29" s="6">
        <v>7.8329999999999997E-2</v>
      </c>
      <c r="N29" s="6">
        <v>9.8839999999999997E-2</v>
      </c>
      <c r="O29" s="6">
        <v>7.7410000000000007E-2</v>
      </c>
      <c r="P29" s="6">
        <v>7.3859999999999995E-2</v>
      </c>
      <c r="Q29" s="6">
        <v>6.1929999999999999E-2</v>
      </c>
      <c r="R29" s="6">
        <v>4.2099999999999999E-2</v>
      </c>
      <c r="S29" s="6">
        <v>5.5379999999999999E-2</v>
      </c>
      <c r="T29" s="6"/>
      <c r="U29" s="6">
        <v>21</v>
      </c>
      <c r="V29" s="6">
        <v>84</v>
      </c>
      <c r="W29" s="6">
        <f>0.05245+0.07196</f>
        <v>0.12440999999999999</v>
      </c>
      <c r="X29" s="6"/>
      <c r="Y29" s="6"/>
      <c r="Z29" s="6">
        <v>21</v>
      </c>
      <c r="AA29" s="6">
        <v>84</v>
      </c>
      <c r="AB29" s="6">
        <f>0.04605+0.07196</f>
        <v>0.11801</v>
      </c>
      <c r="AC29" s="6"/>
      <c r="AD29" s="6">
        <v>14</v>
      </c>
      <c r="AE29" s="6">
        <f t="shared" si="1"/>
        <v>56</v>
      </c>
      <c r="AF29" s="6">
        <f t="shared" si="5"/>
        <v>4.6050000000000001E-2</v>
      </c>
      <c r="AG29" s="6">
        <f t="shared" si="5"/>
        <v>4.6050000000000001E-2</v>
      </c>
      <c r="AH29" s="6">
        <v>7.424E-2</v>
      </c>
      <c r="AI29" s="6">
        <v>9.3679999999999999E-2</v>
      </c>
      <c r="AJ29" s="6">
        <v>7.3359999999999995E-2</v>
      </c>
      <c r="AK29" s="6">
        <v>7.0000000000000007E-2</v>
      </c>
      <c r="AL29" s="6">
        <v>5.8700000000000002E-2</v>
      </c>
      <c r="AM29" s="6">
        <v>3.9899999999999998E-2</v>
      </c>
      <c r="AN29" s="6">
        <v>5.2479999999999999E-2</v>
      </c>
      <c r="AO29" s="6"/>
      <c r="AP29" s="6">
        <v>21</v>
      </c>
      <c r="AQ29" s="6">
        <v>84</v>
      </c>
      <c r="AR29" s="6">
        <f>0.04805+0.06747</f>
        <v>0.11552000000000001</v>
      </c>
      <c r="AS29" s="6"/>
      <c r="AT29" s="6"/>
      <c r="AU29" s="6">
        <v>21</v>
      </c>
      <c r="AV29" s="6">
        <v>84</v>
      </c>
      <c r="AW29" s="6">
        <f>0.04277+0.06747</f>
        <v>0.11024</v>
      </c>
      <c r="AX29" s="6"/>
      <c r="AY29" s="6">
        <v>14</v>
      </c>
      <c r="AZ29" s="6">
        <f t="shared" si="2"/>
        <v>56</v>
      </c>
      <c r="BA29" s="6">
        <v>4.2770000000000002E-2</v>
      </c>
      <c r="BB29" s="6">
        <v>4.2770000000000002E-2</v>
      </c>
      <c r="BC29" s="6">
        <v>6.9260000000000002E-2</v>
      </c>
      <c r="BD29" s="6">
        <v>8.7400000000000005E-2</v>
      </c>
      <c r="BE29" s="6">
        <v>6.8449999999999997E-2</v>
      </c>
      <c r="BF29" s="6">
        <v>6.5310000000000007E-2</v>
      </c>
      <c r="BG29" s="6">
        <v>5.4760000000000003E-2</v>
      </c>
      <c r="BH29" s="6">
        <v>3.7229999999999999E-2</v>
      </c>
      <c r="BI29" s="6">
        <v>4.8959999999999997E-2</v>
      </c>
      <c r="BJ29" s="6"/>
      <c r="BK29" s="6">
        <v>21</v>
      </c>
      <c r="BL29" s="6">
        <v>84</v>
      </c>
      <c r="BM29" s="6">
        <f>0.04025+0.06083</f>
        <v>0.10108</v>
      </c>
      <c r="BN29" s="6"/>
      <c r="BO29" s="6"/>
      <c r="BP29" s="6">
        <v>21</v>
      </c>
      <c r="BQ29" s="6">
        <v>84</v>
      </c>
      <c r="BR29" s="6">
        <f>0.04443+0.06083</f>
        <v>0.10525999999999999</v>
      </c>
      <c r="BS29" s="6"/>
      <c r="BT29" s="6">
        <v>14</v>
      </c>
      <c r="BU29" s="6">
        <f t="shared" si="3"/>
        <v>56</v>
      </c>
      <c r="BV29" s="6">
        <v>4.0250000000000001E-2</v>
      </c>
      <c r="BW29" s="6">
        <v>4.0250000000000001E-2</v>
      </c>
      <c r="BX29" s="12">
        <v>6.4240000000000005E-2</v>
      </c>
      <c r="BY29" s="6">
        <v>8.1070000000000003E-2</v>
      </c>
      <c r="BZ29" s="6">
        <v>6.3479999999999995E-2</v>
      </c>
      <c r="CA29" s="6">
        <v>6.0580000000000002E-2</v>
      </c>
      <c r="CB29" s="6">
        <v>5.0799999999999998E-2</v>
      </c>
      <c r="CC29" s="6">
        <v>3.4529999999999998E-2</v>
      </c>
      <c r="CD29" s="6">
        <v>4.5420000000000002E-2</v>
      </c>
      <c r="CE29" s="6">
        <f t="shared" si="6"/>
        <v>9.1049999999999992E-2</v>
      </c>
      <c r="CF29" s="6">
        <v>21</v>
      </c>
      <c r="CG29" s="6">
        <f>CF29/ts</f>
        <v>84</v>
      </c>
      <c r="CH29" s="6">
        <f>0.09451+0.09642</f>
        <v>0.19092999999999999</v>
      </c>
      <c r="CI29" s="6"/>
      <c r="CJ29" s="6">
        <v>21</v>
      </c>
      <c r="CK29" s="6">
        <f>CJ29/ts</f>
        <v>84</v>
      </c>
      <c r="CL29" s="6">
        <f>0.09596+0.09148</f>
        <v>0.18744</v>
      </c>
      <c r="CN29" s="6">
        <v>21</v>
      </c>
      <c r="CO29" s="6">
        <f>CN29/ts</f>
        <v>84</v>
      </c>
      <c r="CP29" s="6">
        <f>0.07922+0.07396</f>
        <v>0.15317999999999998</v>
      </c>
      <c r="DC29" s="19">
        <v>14</v>
      </c>
      <c r="DD29" s="6">
        <f>DC29/$B$1</f>
        <v>56</v>
      </c>
      <c r="DE29" s="6">
        <v>0.29674</v>
      </c>
      <c r="DG29" s="19">
        <v>0</v>
      </c>
      <c r="DH29" s="6">
        <f t="shared" ref="DH29:DH34" si="7">DG29/$B$1</f>
        <v>0</v>
      </c>
      <c r="DI29" s="6">
        <v>0.23233999999999999</v>
      </c>
      <c r="DL29" s="19">
        <v>21</v>
      </c>
      <c r="DM29" s="6">
        <f>DL29/$B$1</f>
        <v>84</v>
      </c>
      <c r="DN29" s="6">
        <v>0.29025000000000001</v>
      </c>
      <c r="DP29" s="19">
        <v>14</v>
      </c>
      <c r="DQ29" s="6">
        <f>DP29/$B$1</f>
        <v>56</v>
      </c>
      <c r="DR29" s="6">
        <v>0.20236000000000001</v>
      </c>
      <c r="DU29" s="19">
        <v>14</v>
      </c>
      <c r="DV29" s="6">
        <f>DU29/$B$1</f>
        <v>56</v>
      </c>
      <c r="DW29" s="6">
        <v>0.13236000000000001</v>
      </c>
      <c r="DZ29" s="19">
        <v>14</v>
      </c>
      <c r="EA29" s="6">
        <f>DZ29/$B$1</f>
        <v>56</v>
      </c>
      <c r="EB29" s="6">
        <v>0.14729999999999999</v>
      </c>
      <c r="EE29" s="19">
        <v>14</v>
      </c>
      <c r="EF29" s="6">
        <f>EE29/$B$1</f>
        <v>56</v>
      </c>
      <c r="EG29" s="6">
        <v>0.12672</v>
      </c>
      <c r="EJ29" s="19">
        <v>14</v>
      </c>
      <c r="EK29" s="6">
        <f>EJ29/$B$1</f>
        <v>56</v>
      </c>
      <c r="EL29" s="6">
        <v>0.13627</v>
      </c>
      <c r="EN29" s="16">
        <v>0</v>
      </c>
      <c r="EO29" s="6">
        <f>EN29/$B$1</f>
        <v>0</v>
      </c>
      <c r="EP29" s="6">
        <v>0.10218000000000001</v>
      </c>
      <c r="ER29" s="17"/>
      <c r="ES29" s="19">
        <v>0</v>
      </c>
      <c r="ET29" s="6">
        <f>ES29/$B$1</f>
        <v>0</v>
      </c>
      <c r="EU29" s="6">
        <v>0.10136000000000001</v>
      </c>
      <c r="EX29" s="19">
        <v>0</v>
      </c>
      <c r="EY29" s="6">
        <f>EX29/$B$1</f>
        <v>0</v>
      </c>
      <c r="EZ29" s="6">
        <v>9.2799999999999994E-2</v>
      </c>
      <c r="FC29" s="19">
        <v>0</v>
      </c>
      <c r="FD29" s="19">
        <f>FC29/$B$1</f>
        <v>0</v>
      </c>
      <c r="FE29" s="6">
        <f>0.12729+0.05903</f>
        <v>0.18631999999999999</v>
      </c>
    </row>
    <row r="30" spans="1:162" x14ac:dyDescent="0.2">
      <c r="A30" s="6"/>
      <c r="B30" s="6"/>
      <c r="C30" s="6"/>
      <c r="D30" s="6"/>
      <c r="E30" s="6" t="s">
        <v>54</v>
      </c>
      <c r="F30" s="6" t="s">
        <v>57</v>
      </c>
      <c r="G30" s="6">
        <f>14.85+4.06</f>
        <v>18.91</v>
      </c>
      <c r="H30" s="6">
        <f>G30/(mo)</f>
        <v>0.62</v>
      </c>
      <c r="I30" s="6">
        <v>15</v>
      </c>
      <c r="J30" s="6">
        <f t="shared" si="0"/>
        <v>60</v>
      </c>
      <c r="K30" s="6">
        <f t="shared" si="4"/>
        <v>4.6989999999999997E-2</v>
      </c>
      <c r="L30" s="6">
        <v>4.1889999999999997E-2</v>
      </c>
      <c r="M30" s="6">
        <v>8.2419999999999993E-2</v>
      </c>
      <c r="N30" s="6">
        <v>8.584E-2</v>
      </c>
      <c r="O30" s="6">
        <v>7.7210000000000001E-2</v>
      </c>
      <c r="P30" s="6">
        <v>8.1059999999999993E-2</v>
      </c>
      <c r="Q30" s="6">
        <v>7.3160000000000003E-2</v>
      </c>
      <c r="R30" s="6">
        <v>6.0569999999999999E-2</v>
      </c>
      <c r="S30" s="6">
        <v>7.1510000000000004E-2</v>
      </c>
      <c r="T30" s="6"/>
      <c r="U30" s="11" t="s">
        <v>54</v>
      </c>
      <c r="V30" s="11" t="s">
        <v>57</v>
      </c>
      <c r="W30" s="11">
        <f>12.14+0.99</f>
        <v>13.13</v>
      </c>
      <c r="X30" s="6">
        <f>W30/(mo)</f>
        <v>0.43049180327868852</v>
      </c>
      <c r="Y30" s="6"/>
      <c r="Z30" s="6" t="s">
        <v>54</v>
      </c>
      <c r="AA30" s="6" t="s">
        <v>57</v>
      </c>
      <c r="AB30" s="6">
        <f>17.57+5.56+4.78</f>
        <v>27.91</v>
      </c>
      <c r="AC30" s="6">
        <f>AB30/(mo)</f>
        <v>0.91508196721311474</v>
      </c>
      <c r="AD30" s="6">
        <v>15</v>
      </c>
      <c r="AE30" s="6">
        <f t="shared" si="1"/>
        <v>60</v>
      </c>
      <c r="AF30" s="6">
        <f t="shared" si="5"/>
        <v>4.6050000000000001E-2</v>
      </c>
      <c r="AG30" s="6">
        <f t="shared" si="5"/>
        <v>4.6050000000000001E-2</v>
      </c>
      <c r="AH30" s="6">
        <v>7.8119999999999995E-2</v>
      </c>
      <c r="AI30" s="6">
        <v>8.1350000000000006E-2</v>
      </c>
      <c r="AJ30" s="6">
        <v>7.3169999999999999E-2</v>
      </c>
      <c r="AK30" s="6">
        <v>7.6819999999999999E-2</v>
      </c>
      <c r="AL30" s="6">
        <v>6.9339999999999999E-2</v>
      </c>
      <c r="AM30" s="6">
        <v>5.74E-2</v>
      </c>
      <c r="AN30" s="6">
        <v>6.7769999999999997E-2</v>
      </c>
      <c r="AO30" s="6"/>
      <c r="AP30" s="11" t="s">
        <v>54</v>
      </c>
      <c r="AQ30" s="11" t="s">
        <v>57</v>
      </c>
      <c r="AR30" s="11">
        <f>12.93+0.84</f>
        <v>13.77</v>
      </c>
      <c r="AS30" s="6">
        <f>AR30/(mo)</f>
        <v>0.45147540983606554</v>
      </c>
      <c r="AT30" s="6"/>
      <c r="AU30" s="11" t="s">
        <v>54</v>
      </c>
      <c r="AV30" s="11" t="s">
        <v>57</v>
      </c>
      <c r="AW30" s="11">
        <f>18.94+5.47+4.06</f>
        <v>28.47</v>
      </c>
      <c r="AX30" s="6">
        <f>AW30/(mo)</f>
        <v>0.93344262295081959</v>
      </c>
      <c r="AY30" s="6">
        <v>15</v>
      </c>
      <c r="AZ30" s="6">
        <f t="shared" si="2"/>
        <v>60</v>
      </c>
      <c r="BA30" s="6">
        <v>4.2770000000000002E-2</v>
      </c>
      <c r="BB30" s="6">
        <v>4.2770000000000002E-2</v>
      </c>
      <c r="BC30" s="6">
        <v>7.288E-2</v>
      </c>
      <c r="BD30" s="6">
        <v>7.5899999999999995E-2</v>
      </c>
      <c r="BE30" s="6">
        <v>6.8269999999999997E-2</v>
      </c>
      <c r="BF30" s="6">
        <v>7.1679999999999994E-2</v>
      </c>
      <c r="BG30" s="6">
        <v>6.4689999999999998E-2</v>
      </c>
      <c r="BH30" s="6">
        <v>5.3560000000000003E-2</v>
      </c>
      <c r="BI30" s="6">
        <v>6.3229999999999995E-2</v>
      </c>
      <c r="BJ30" s="6"/>
      <c r="BK30" s="11" t="s">
        <v>54</v>
      </c>
      <c r="BL30" s="11" t="s">
        <v>57</v>
      </c>
      <c r="BM30" s="6">
        <f>19.54+5.33+5.22</f>
        <v>30.089999999999996</v>
      </c>
      <c r="BN30" s="6">
        <f>BM30/(mo)</f>
        <v>0.98655737704918023</v>
      </c>
      <c r="BO30" s="6"/>
      <c r="BP30" s="11" t="s">
        <v>54</v>
      </c>
      <c r="BQ30" s="6" t="s">
        <v>94</v>
      </c>
      <c r="BR30" s="6">
        <v>13.42</v>
      </c>
      <c r="BS30" s="6">
        <f>BR30/(mo)</f>
        <v>0.44</v>
      </c>
      <c r="BT30" s="6">
        <v>15</v>
      </c>
      <c r="BU30" s="6">
        <f t="shared" si="3"/>
        <v>60</v>
      </c>
      <c r="BV30" s="6">
        <v>4.0250000000000001E-2</v>
      </c>
      <c r="BW30" s="6">
        <v>4.0250000000000001E-2</v>
      </c>
      <c r="BX30" s="12">
        <v>6.7599999999999993E-2</v>
      </c>
      <c r="BY30" s="6">
        <v>7.0400000000000004E-2</v>
      </c>
      <c r="BZ30" s="6">
        <v>6.3320000000000001E-2</v>
      </c>
      <c r="CA30" s="6">
        <v>6.6479999999999997E-2</v>
      </c>
      <c r="CB30" s="6">
        <v>0.06</v>
      </c>
      <c r="CC30" s="6">
        <v>4.9680000000000002E-2</v>
      </c>
      <c r="CD30" s="6">
        <v>5.8650000000000001E-2</v>
      </c>
      <c r="CE30" s="6">
        <f t="shared" si="6"/>
        <v>0.10025000000000001</v>
      </c>
      <c r="CF30" s="6"/>
      <c r="CG30" s="6"/>
      <c r="CH30" s="6"/>
      <c r="CI30" s="6"/>
      <c r="CJ30" s="6"/>
      <c r="CK30" s="6"/>
      <c r="CN30" s="6"/>
      <c r="CO30" s="6"/>
      <c r="DC30" s="19">
        <v>16</v>
      </c>
      <c r="DD30" s="6">
        <f>DC30/$B$1</f>
        <v>64</v>
      </c>
      <c r="DE30" s="6">
        <v>0.31285000000000002</v>
      </c>
      <c r="DG30" s="19">
        <v>9</v>
      </c>
      <c r="DH30" s="6">
        <f t="shared" si="7"/>
        <v>36</v>
      </c>
      <c r="DI30" s="6">
        <v>0.21592</v>
      </c>
      <c r="DP30" s="19">
        <v>16</v>
      </c>
      <c r="DQ30" s="6">
        <f>DP30/$B$1</f>
        <v>64</v>
      </c>
      <c r="DR30" s="6">
        <v>0.23784</v>
      </c>
      <c r="DU30" s="19">
        <v>16</v>
      </c>
      <c r="DV30" s="6">
        <f>DU30/$B$1</f>
        <v>64</v>
      </c>
      <c r="DW30" s="6">
        <v>0.17235</v>
      </c>
      <c r="DZ30" s="19">
        <v>16</v>
      </c>
      <c r="EA30" s="6">
        <f>DZ30/$B$1</f>
        <v>64</v>
      </c>
      <c r="EB30" s="6">
        <v>0.18962000000000001</v>
      </c>
      <c r="EE30" s="19">
        <v>16</v>
      </c>
      <c r="EF30" s="6">
        <f>EE30/$B$1</f>
        <v>64</v>
      </c>
      <c r="EG30" s="6">
        <v>0.16683999999999999</v>
      </c>
      <c r="EJ30" s="19">
        <v>16</v>
      </c>
      <c r="EK30" s="6">
        <f>EJ30/$B$1</f>
        <v>64</v>
      </c>
      <c r="EL30" s="6">
        <v>0.18</v>
      </c>
      <c r="EN30" s="16">
        <v>6</v>
      </c>
      <c r="EO30" s="6">
        <f>EN30/$B$1</f>
        <v>24</v>
      </c>
      <c r="EP30" s="6">
        <v>0.11448999999999999</v>
      </c>
      <c r="ER30" s="17"/>
      <c r="ES30" s="19">
        <v>6</v>
      </c>
      <c r="ET30" s="6">
        <f>ES30/$B$1</f>
        <v>24</v>
      </c>
      <c r="EU30" s="6">
        <v>0.12801000000000001</v>
      </c>
      <c r="EX30" s="19">
        <v>6</v>
      </c>
      <c r="EY30" s="6">
        <f>EX30/$B$1</f>
        <v>24</v>
      </c>
      <c r="EZ30" s="6">
        <v>0.11693000000000001</v>
      </c>
      <c r="FC30" s="19">
        <v>6</v>
      </c>
      <c r="FD30" s="19">
        <f>FC30/$B$1</f>
        <v>24</v>
      </c>
      <c r="FE30" s="6">
        <f>0.12729+0.0764</f>
        <v>0.20368999999999998</v>
      </c>
    </row>
    <row r="31" spans="1:162" x14ac:dyDescent="0.2">
      <c r="A31" s="6"/>
      <c r="B31" s="6"/>
      <c r="C31" s="6"/>
      <c r="D31" s="6"/>
      <c r="E31" s="6"/>
      <c r="F31" s="6"/>
      <c r="G31" s="6"/>
      <c r="H31" s="6"/>
      <c r="I31" s="6">
        <v>16</v>
      </c>
      <c r="J31" s="6">
        <f t="shared" si="0"/>
        <v>64</v>
      </c>
      <c r="K31" s="6">
        <f>0.08218</f>
        <v>8.2180000000000003E-2</v>
      </c>
      <c r="L31" s="6">
        <f>0.08218</f>
        <v>8.2180000000000003E-2</v>
      </c>
      <c r="M31" s="6">
        <v>8.7160000000000001E-2</v>
      </c>
      <c r="N31" s="6">
        <v>9.0550000000000005E-2</v>
      </c>
      <c r="O31" s="6">
        <v>7.9339999999999994E-2</v>
      </c>
      <c r="P31" s="6">
        <v>9.9199999999999997E-2</v>
      </c>
      <c r="Q31" s="6">
        <v>8.3349999999999994E-2</v>
      </c>
      <c r="R31" s="6">
        <v>7.9039999999999999E-2</v>
      </c>
      <c r="S31" s="6">
        <v>8.2229999999999998E-2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16</v>
      </c>
      <c r="AE31" s="6">
        <f t="shared" si="1"/>
        <v>64</v>
      </c>
      <c r="AF31" s="6">
        <f t="shared" si="5"/>
        <v>4.6050000000000001E-2</v>
      </c>
      <c r="AG31" s="6">
        <f t="shared" si="5"/>
        <v>4.6050000000000001E-2</v>
      </c>
      <c r="AH31" s="6">
        <v>8.2600000000000007E-2</v>
      </c>
      <c r="AI31" s="6">
        <v>8.5809999999999997E-2</v>
      </c>
      <c r="AJ31" s="6">
        <v>7.5200000000000003E-2</v>
      </c>
      <c r="AK31" s="6">
        <v>9.4009999999999996E-2</v>
      </c>
      <c r="AL31" s="6">
        <v>7.8990000000000005E-2</v>
      </c>
      <c r="AM31" s="6">
        <v>7.4899999999999994E-2</v>
      </c>
      <c r="AN31" s="6">
        <v>7.7929999999999999E-2</v>
      </c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>
        <v>16</v>
      </c>
      <c r="AZ31" s="6">
        <f t="shared" si="2"/>
        <v>64</v>
      </c>
      <c r="BA31" s="6">
        <v>4.2770000000000002E-2</v>
      </c>
      <c r="BB31" s="6">
        <v>4.2770000000000002E-2</v>
      </c>
      <c r="BC31" s="6">
        <v>7.707E-2</v>
      </c>
      <c r="BD31" s="6">
        <v>8.0060000000000006E-2</v>
      </c>
      <c r="BE31" s="6">
        <v>7.016E-2</v>
      </c>
      <c r="BF31" s="6">
        <v>8.7709999999999996E-2</v>
      </c>
      <c r="BG31" s="6">
        <v>7.3700000000000002E-2</v>
      </c>
      <c r="BH31" s="6">
        <v>6.9889999999999994E-2</v>
      </c>
      <c r="BI31" s="6">
        <v>7.2709999999999997E-2</v>
      </c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>
        <v>16</v>
      </c>
      <c r="BU31" s="6">
        <f t="shared" si="3"/>
        <v>64</v>
      </c>
      <c r="BV31" s="6">
        <v>4.0250000000000001E-2</v>
      </c>
      <c r="BW31" s="6">
        <v>4.0250000000000001E-2</v>
      </c>
      <c r="BX31" s="12">
        <v>7.1480000000000002E-2</v>
      </c>
      <c r="BY31" s="6">
        <v>7.4260000000000007E-2</v>
      </c>
      <c r="BZ31" s="6">
        <v>6.5070000000000003E-2</v>
      </c>
      <c r="CA31" s="6">
        <v>8.1360000000000002E-2</v>
      </c>
      <c r="CB31" s="6">
        <v>6.8360000000000004E-2</v>
      </c>
      <c r="CC31" s="6">
        <v>6.4820000000000003E-2</v>
      </c>
      <c r="CD31" s="6">
        <v>6.744E-2</v>
      </c>
      <c r="CE31" s="6">
        <f t="shared" si="6"/>
        <v>0.10861000000000001</v>
      </c>
      <c r="CF31" s="5"/>
      <c r="CG31" s="5"/>
      <c r="CH31" s="5"/>
      <c r="CI31" s="6"/>
      <c r="CJ31" s="6"/>
      <c r="CK31" s="6"/>
      <c r="CN31" s="6"/>
      <c r="CO31" s="6"/>
      <c r="DC31" s="19">
        <v>21</v>
      </c>
      <c r="DD31" s="6">
        <f>DC31/$B$1</f>
        <v>84</v>
      </c>
      <c r="DE31" s="6">
        <v>0.29674</v>
      </c>
      <c r="DG31" s="19">
        <v>14</v>
      </c>
      <c r="DH31" s="6">
        <f t="shared" si="7"/>
        <v>56</v>
      </c>
      <c r="DI31" s="6">
        <v>0.32139000000000001</v>
      </c>
      <c r="DP31" s="19">
        <v>21</v>
      </c>
      <c r="DQ31" s="6">
        <f>DP31/$B$1</f>
        <v>84</v>
      </c>
      <c r="DR31" s="6">
        <v>0.20236000000000001</v>
      </c>
      <c r="DU31" s="19">
        <v>21</v>
      </c>
      <c r="DV31" s="6">
        <f>DU31/$B$1</f>
        <v>84</v>
      </c>
      <c r="DW31" s="6">
        <v>0.13236000000000001</v>
      </c>
      <c r="DZ31" s="19">
        <v>21</v>
      </c>
      <c r="EA31" s="6">
        <f>DZ31/$B$1</f>
        <v>84</v>
      </c>
      <c r="EB31" s="6">
        <v>0.14729999999999999</v>
      </c>
      <c r="EE31" s="19">
        <v>21</v>
      </c>
      <c r="EF31" s="6">
        <f>EE31/$B$1</f>
        <v>84</v>
      </c>
      <c r="EG31" s="6">
        <v>0.12672</v>
      </c>
      <c r="EJ31" s="19">
        <v>21</v>
      </c>
      <c r="EK31" s="6">
        <f>EJ31/$B$1</f>
        <v>84</v>
      </c>
      <c r="EL31" s="6">
        <v>0.13627</v>
      </c>
      <c r="EN31" s="16">
        <v>16</v>
      </c>
      <c r="EO31" s="6">
        <f>EN31/$B$1</f>
        <v>64</v>
      </c>
      <c r="EP31" s="6">
        <v>0.23960999999999999</v>
      </c>
      <c r="ER31" s="17"/>
      <c r="ES31" s="19">
        <v>16</v>
      </c>
      <c r="ET31" s="6">
        <f>ES31/$B$1</f>
        <v>64</v>
      </c>
      <c r="EU31" s="6">
        <v>0.21992999999999999</v>
      </c>
      <c r="EX31" s="19">
        <v>16</v>
      </c>
      <c r="EY31" s="6">
        <f>EX31/$B$1</f>
        <v>64</v>
      </c>
      <c r="EZ31" s="6">
        <v>0.20016999999999999</v>
      </c>
      <c r="FC31" s="19">
        <v>16</v>
      </c>
      <c r="FD31" s="19">
        <f>FC31/$B$1</f>
        <v>64</v>
      </c>
      <c r="FE31" s="6">
        <f>0.12729+0.13581</f>
        <v>0.2631</v>
      </c>
    </row>
    <row r="32" spans="1:162" x14ac:dyDescent="0.2">
      <c r="A32" s="6"/>
      <c r="B32" s="6"/>
      <c r="C32" s="6"/>
      <c r="D32" s="6"/>
      <c r="E32" s="5" t="s">
        <v>48</v>
      </c>
      <c r="F32" s="5" t="s">
        <v>49</v>
      </c>
      <c r="G32" s="5" t="s">
        <v>78</v>
      </c>
      <c r="H32" s="6"/>
      <c r="I32" s="6">
        <v>17</v>
      </c>
      <c r="J32" s="6">
        <f t="shared" si="0"/>
        <v>68</v>
      </c>
      <c r="K32" s="6">
        <f t="shared" ref="K32:L34" si="8">0.08218</f>
        <v>8.2180000000000003E-2</v>
      </c>
      <c r="L32" s="6">
        <f t="shared" si="8"/>
        <v>8.2180000000000003E-2</v>
      </c>
      <c r="M32" s="6">
        <v>0.14063999999999999</v>
      </c>
      <c r="N32" s="6">
        <v>9.6990000000000007E-2</v>
      </c>
      <c r="O32" s="6">
        <v>8.4629999999999997E-2</v>
      </c>
      <c r="P32" s="6">
        <v>0.12994</v>
      </c>
      <c r="Q32" s="6">
        <v>0.10224999999999999</v>
      </c>
      <c r="R32" s="6">
        <v>0.53717999999999999</v>
      </c>
      <c r="S32" s="6">
        <v>9.5390000000000003E-2</v>
      </c>
      <c r="T32" s="6"/>
      <c r="U32" s="5" t="s">
        <v>48</v>
      </c>
      <c r="V32" s="5" t="s">
        <v>49</v>
      </c>
      <c r="W32" s="5" t="s">
        <v>78</v>
      </c>
      <c r="X32" s="6"/>
      <c r="Y32" s="6"/>
      <c r="Z32" s="5" t="s">
        <v>48</v>
      </c>
      <c r="AA32" s="5" t="s">
        <v>49</v>
      </c>
      <c r="AB32" s="5" t="s">
        <v>78</v>
      </c>
      <c r="AC32" s="6"/>
      <c r="AD32" s="6">
        <v>17</v>
      </c>
      <c r="AE32" s="6">
        <f t="shared" si="1"/>
        <v>68</v>
      </c>
      <c r="AF32" s="6">
        <f t="shared" si="5"/>
        <v>4.6050000000000001E-2</v>
      </c>
      <c r="AG32" s="6">
        <f t="shared" si="5"/>
        <v>4.6050000000000001E-2</v>
      </c>
      <c r="AH32" s="6">
        <v>0.13328999999999999</v>
      </c>
      <c r="AI32" s="6">
        <v>9.1929999999999998E-2</v>
      </c>
      <c r="AJ32" s="6">
        <v>8.0199999999999994E-2</v>
      </c>
      <c r="AK32" s="6">
        <v>0.12315</v>
      </c>
      <c r="AL32" s="6">
        <v>9.6909999999999996E-2</v>
      </c>
      <c r="AM32" s="6">
        <v>0.5091</v>
      </c>
      <c r="AN32" s="6">
        <v>9.0399999999999994E-2</v>
      </c>
      <c r="AO32" s="6"/>
      <c r="AP32" s="5" t="s">
        <v>48</v>
      </c>
      <c r="AQ32" s="5" t="s">
        <v>49</v>
      </c>
      <c r="AR32" s="5" t="s">
        <v>78</v>
      </c>
      <c r="AS32" s="6"/>
      <c r="AT32" s="6"/>
      <c r="AU32" s="5" t="s">
        <v>48</v>
      </c>
      <c r="AV32" s="5" t="s">
        <v>49</v>
      </c>
      <c r="AW32" s="5" t="s">
        <v>78</v>
      </c>
      <c r="AX32" s="6"/>
      <c r="AY32" s="6">
        <v>17</v>
      </c>
      <c r="AZ32" s="6">
        <f t="shared" si="2"/>
        <v>68</v>
      </c>
      <c r="BA32" s="6">
        <v>4.2770000000000002E-2</v>
      </c>
      <c r="BB32" s="6">
        <v>4.2770000000000002E-2</v>
      </c>
      <c r="BC32" s="6">
        <v>0.12436</v>
      </c>
      <c r="BD32" s="6">
        <v>8.5769999999999999E-2</v>
      </c>
      <c r="BE32" s="6">
        <v>7.4829999999999994E-2</v>
      </c>
      <c r="BF32" s="6">
        <v>0.1149</v>
      </c>
      <c r="BG32" s="6">
        <v>9.042E-2</v>
      </c>
      <c r="BH32" s="6">
        <v>0.47499000000000002</v>
      </c>
      <c r="BI32" s="6">
        <v>8.4349999999999994E-2</v>
      </c>
      <c r="BJ32" s="6"/>
      <c r="BK32" s="5" t="s">
        <v>48</v>
      </c>
      <c r="BL32" s="5" t="s">
        <v>49</v>
      </c>
      <c r="BM32" s="5" t="s">
        <v>78</v>
      </c>
      <c r="BN32" s="6"/>
      <c r="BO32" s="6"/>
      <c r="BP32" s="5"/>
      <c r="BQ32" s="5"/>
      <c r="BR32" s="5"/>
      <c r="BS32" s="6"/>
      <c r="BT32" s="6">
        <v>17</v>
      </c>
      <c r="BU32" s="6">
        <f t="shared" si="3"/>
        <v>68</v>
      </c>
      <c r="BV32" s="6">
        <v>4.0250000000000001E-2</v>
      </c>
      <c r="BW32" s="6">
        <v>4.0250000000000001E-2</v>
      </c>
      <c r="BX32" s="12">
        <v>0.11534999999999999</v>
      </c>
      <c r="BY32" s="6">
        <v>7.9549999999999996E-2</v>
      </c>
      <c r="BZ32" s="6">
        <v>6.9409999999999999E-2</v>
      </c>
      <c r="CA32" s="6">
        <v>0.10657</v>
      </c>
      <c r="CB32" s="6">
        <v>8.3860000000000004E-2</v>
      </c>
      <c r="CC32" s="6">
        <v>0.44057000000000002</v>
      </c>
      <c r="CD32" s="6">
        <v>7.8229999999999994E-2</v>
      </c>
      <c r="CE32" s="6">
        <f t="shared" si="6"/>
        <v>0.12411</v>
      </c>
      <c r="CF32" s="6"/>
      <c r="CG32" s="6"/>
      <c r="CH32" s="6"/>
      <c r="CI32" s="6"/>
      <c r="CJ32" s="6"/>
      <c r="CK32" s="6"/>
      <c r="CN32" s="6"/>
      <c r="CO32" s="6"/>
      <c r="DC32" s="19"/>
      <c r="DD32" s="6"/>
      <c r="DE32" s="6"/>
      <c r="DG32" s="19">
        <v>16</v>
      </c>
      <c r="DH32" s="6">
        <f t="shared" si="7"/>
        <v>64</v>
      </c>
      <c r="DI32" s="6">
        <v>0.35088999999999998</v>
      </c>
      <c r="DP32" s="19" t="s">
        <v>124</v>
      </c>
      <c r="DQ32" s="6" t="s">
        <v>129</v>
      </c>
      <c r="DR32" s="6">
        <v>17.47</v>
      </c>
      <c r="DS32" s="6">
        <f>DR32/mo</f>
        <v>0.5727868852459016</v>
      </c>
      <c r="DU32" s="19" t="s">
        <v>124</v>
      </c>
      <c r="DV32" s="6" t="s">
        <v>133</v>
      </c>
      <c r="DW32" s="6">
        <f>26.07+2.22</f>
        <v>28.29</v>
      </c>
      <c r="DX32" s="6">
        <f>DW32/mo</f>
        <v>0.92754098360655735</v>
      </c>
      <c r="DZ32" s="19" t="s">
        <v>124</v>
      </c>
      <c r="EA32" s="6" t="s">
        <v>138</v>
      </c>
      <c r="EB32" s="6">
        <f>11.06+3.04</f>
        <v>14.100000000000001</v>
      </c>
      <c r="EC32" s="6">
        <f>EB32/mo+0.54</f>
        <v>1.0022950819672132</v>
      </c>
      <c r="ED32" s="6"/>
      <c r="EE32" s="19" t="s">
        <v>124</v>
      </c>
      <c r="EF32" s="6" t="s">
        <v>133</v>
      </c>
      <c r="EG32" s="6">
        <f>28.04+2.24</f>
        <v>30.28</v>
      </c>
      <c r="EH32" s="6">
        <f>EG32/mo</f>
        <v>0.99278688524590164</v>
      </c>
      <c r="EI32" s="6"/>
      <c r="EJ32" s="19" t="s">
        <v>124</v>
      </c>
      <c r="EK32" s="6" t="s">
        <v>138</v>
      </c>
      <c r="EL32" s="6">
        <f>12.88+3.08</f>
        <v>15.96</v>
      </c>
      <c r="EM32" s="6">
        <f>EL32/mo+0.56</f>
        <v>1.0832786885245902</v>
      </c>
      <c r="EN32" s="16">
        <v>21</v>
      </c>
      <c r="EO32" s="6">
        <f>EN32/$B$1</f>
        <v>84</v>
      </c>
      <c r="EP32" s="6">
        <v>0.11448999999999999</v>
      </c>
      <c r="ER32" s="17"/>
      <c r="ES32" s="19">
        <v>21</v>
      </c>
      <c r="ET32" s="6">
        <f>ES32/$B$1</f>
        <v>84</v>
      </c>
      <c r="EU32" s="6">
        <v>0.12801000000000001</v>
      </c>
      <c r="EX32" s="19">
        <v>21</v>
      </c>
      <c r="EY32" s="6">
        <f>EX32/$B$1</f>
        <v>84</v>
      </c>
      <c r="EZ32" s="6">
        <v>0.11693000000000001</v>
      </c>
      <c r="FA32">
        <f>18.63/mo</f>
        <v>0.61081967213114752</v>
      </c>
      <c r="FC32" s="19">
        <v>21</v>
      </c>
      <c r="FD32" s="19">
        <f>FC32/$B$1</f>
        <v>84</v>
      </c>
      <c r="FE32" s="6">
        <f>0.12729+0.0764</f>
        <v>0.20368999999999998</v>
      </c>
    </row>
    <row r="33" spans="1:162" x14ac:dyDescent="0.2">
      <c r="A33" s="6"/>
      <c r="B33" s="6"/>
      <c r="C33" s="6"/>
      <c r="D33" s="6"/>
      <c r="E33" s="6">
        <v>0</v>
      </c>
      <c r="F33" s="6">
        <v>0</v>
      </c>
      <c r="G33" s="6">
        <f>0.04699+0.076</f>
        <v>0.12298999999999999</v>
      </c>
      <c r="H33" s="6"/>
      <c r="I33" s="6">
        <v>18</v>
      </c>
      <c r="J33" s="6">
        <f t="shared" si="0"/>
        <v>72</v>
      </c>
      <c r="K33" s="6">
        <f t="shared" si="8"/>
        <v>8.2180000000000003E-2</v>
      </c>
      <c r="L33" s="6">
        <f t="shared" si="8"/>
        <v>8.2180000000000003E-2</v>
      </c>
      <c r="M33" s="6">
        <v>5.18025</v>
      </c>
      <c r="N33" s="6">
        <v>0.15939</v>
      </c>
      <c r="O33" s="6">
        <v>9.7239999999999993E-2</v>
      </c>
      <c r="P33" s="6">
        <v>0.13285</v>
      </c>
      <c r="Q33" s="6">
        <v>0.11294999999999999</v>
      </c>
      <c r="R33" s="6">
        <v>0.97987000000000002</v>
      </c>
      <c r="S33" s="6">
        <v>0.10327</v>
      </c>
      <c r="T33" s="6"/>
      <c r="U33" s="6">
        <v>0</v>
      </c>
      <c r="V33" s="6">
        <v>0</v>
      </c>
      <c r="W33" s="6">
        <f>0.05245+0.07196</f>
        <v>0.12440999999999999</v>
      </c>
      <c r="X33" s="6"/>
      <c r="Y33" s="6"/>
      <c r="Z33" s="6">
        <v>0</v>
      </c>
      <c r="AA33" s="6">
        <v>0</v>
      </c>
      <c r="AB33" s="6">
        <f>0.04605+0.07196</f>
        <v>0.11801</v>
      </c>
      <c r="AC33" s="6"/>
      <c r="AD33" s="6">
        <v>18</v>
      </c>
      <c r="AE33" s="6">
        <f t="shared" si="1"/>
        <v>72</v>
      </c>
      <c r="AF33" s="6">
        <f t="shared" si="5"/>
        <v>4.6050000000000001E-2</v>
      </c>
      <c r="AG33" s="6">
        <f t="shared" si="5"/>
        <v>4.6050000000000001E-2</v>
      </c>
      <c r="AH33" s="6">
        <v>4.9095000000000004</v>
      </c>
      <c r="AI33" s="6">
        <v>0.15106</v>
      </c>
      <c r="AJ33" s="6">
        <v>9.2149999999999996E-2</v>
      </c>
      <c r="AK33" s="6">
        <v>0.12590000000000001</v>
      </c>
      <c r="AL33" s="6">
        <v>0.10705000000000001</v>
      </c>
      <c r="AM33" s="6">
        <v>0.92866000000000004</v>
      </c>
      <c r="AN33" s="6">
        <v>9.7869999999999999E-2</v>
      </c>
      <c r="AO33" s="6"/>
      <c r="AP33" s="6">
        <v>0</v>
      </c>
      <c r="AQ33" s="6">
        <v>0</v>
      </c>
      <c r="AR33" s="6">
        <f>0.04805+0.06747</f>
        <v>0.11552000000000001</v>
      </c>
      <c r="AS33" s="6"/>
      <c r="AT33" s="6"/>
      <c r="AU33" s="6">
        <v>0</v>
      </c>
      <c r="AV33" s="6">
        <v>0</v>
      </c>
      <c r="AW33" s="6">
        <f>0.04277</f>
        <v>4.2770000000000002E-2</v>
      </c>
      <c r="AX33" s="6"/>
      <c r="AY33" s="6">
        <v>18</v>
      </c>
      <c r="AZ33" s="6">
        <f t="shared" si="2"/>
        <v>72</v>
      </c>
      <c r="BA33" s="6">
        <v>4.2770000000000002E-2</v>
      </c>
      <c r="BB33" s="6">
        <v>4.2770000000000002E-2</v>
      </c>
      <c r="BC33" s="6">
        <v>4.5805600000000002</v>
      </c>
      <c r="BD33" s="6">
        <v>0.14094000000000001</v>
      </c>
      <c r="BE33" s="6">
        <v>8.5980000000000001E-2</v>
      </c>
      <c r="BF33" s="6">
        <v>0.11747</v>
      </c>
      <c r="BG33" s="6">
        <v>9.9879999999999997E-2</v>
      </c>
      <c r="BH33" s="6">
        <v>0.86643999999999999</v>
      </c>
      <c r="BI33" s="6">
        <v>9.1310000000000002E-2</v>
      </c>
      <c r="BJ33" s="6"/>
      <c r="BK33" s="6">
        <v>0</v>
      </c>
      <c r="BL33" s="6">
        <v>0</v>
      </c>
      <c r="BM33" s="6">
        <f>0.04025+0.06083</f>
        <v>0.10108</v>
      </c>
      <c r="BN33" s="6"/>
      <c r="BO33" s="6"/>
      <c r="BP33" s="6"/>
      <c r="BQ33" s="6"/>
      <c r="BR33" s="6"/>
      <c r="BS33" s="6"/>
      <c r="BT33" s="6">
        <v>18</v>
      </c>
      <c r="BU33" s="6">
        <f t="shared" si="3"/>
        <v>72</v>
      </c>
      <c r="BV33" s="6">
        <v>4.0250000000000001E-2</v>
      </c>
      <c r="BW33" s="6">
        <v>4.0250000000000001E-2</v>
      </c>
      <c r="BX33" s="12">
        <v>4.2485799999999996</v>
      </c>
      <c r="BY33" s="6">
        <v>0.13072</v>
      </c>
      <c r="BZ33" s="6">
        <v>7.9750000000000001E-2</v>
      </c>
      <c r="CA33" s="6">
        <v>0.10896</v>
      </c>
      <c r="CB33" s="6">
        <v>9.264E-2</v>
      </c>
      <c r="CC33" s="6">
        <v>0.80364000000000002</v>
      </c>
      <c r="CD33" s="6">
        <v>8.4690000000000001E-2</v>
      </c>
      <c r="CE33" s="6">
        <f t="shared" si="6"/>
        <v>0.13289000000000001</v>
      </c>
      <c r="CF33" s="6"/>
      <c r="CG33" s="6"/>
      <c r="CH33" s="6"/>
      <c r="CI33" s="6"/>
      <c r="CJ33" s="6"/>
      <c r="CK33" s="6"/>
      <c r="CN33" s="6"/>
      <c r="CO33" s="6"/>
      <c r="DG33" s="19">
        <v>21</v>
      </c>
      <c r="DH33" s="6">
        <f t="shared" si="7"/>
        <v>84</v>
      </c>
      <c r="DI33" s="6">
        <v>0.32139000000000001</v>
      </c>
      <c r="DP33" s="19"/>
      <c r="DQ33" s="6"/>
      <c r="DR33" s="6"/>
      <c r="DS33" s="6"/>
      <c r="EN33" s="16" t="s">
        <v>145</v>
      </c>
      <c r="EO33" s="6" t="s">
        <v>146</v>
      </c>
      <c r="EP33">
        <f>30.68/10</f>
        <v>3.0680000000000001</v>
      </c>
      <c r="EQ33" s="6">
        <f>EP33/mo</f>
        <v>0.10059016393442623</v>
      </c>
      <c r="ER33" s="17"/>
      <c r="ES33" s="19" t="s">
        <v>145</v>
      </c>
      <c r="ET33" s="6" t="s">
        <v>155</v>
      </c>
      <c r="EU33">
        <f>31.32+28.74</f>
        <v>60.06</v>
      </c>
      <c r="EV33" s="6">
        <f>EU33/mo</f>
        <v>1.9691803278688524</v>
      </c>
      <c r="EX33" s="19" t="s">
        <v>145</v>
      </c>
      <c r="EY33" s="6" t="s">
        <v>157</v>
      </c>
      <c r="EZ33">
        <f>18.63+1.12+34.2</f>
        <v>53.95</v>
      </c>
      <c r="FA33" s="6">
        <f>EZ33/mo</f>
        <v>1.7688524590163934</v>
      </c>
      <c r="FC33" t="s">
        <v>152</v>
      </c>
      <c r="FD33" t="s">
        <v>153</v>
      </c>
      <c r="FE33" s="6">
        <v>4.57</v>
      </c>
      <c r="FF33">
        <f>FE33/mo</f>
        <v>0.14983606557377049</v>
      </c>
    </row>
    <row r="34" spans="1:162" x14ac:dyDescent="0.2">
      <c r="A34" s="6"/>
      <c r="B34" s="6"/>
      <c r="C34" s="6"/>
      <c r="D34" s="6"/>
      <c r="E34" s="6">
        <v>8</v>
      </c>
      <c r="F34" s="6">
        <v>32</v>
      </c>
      <c r="G34" s="6">
        <f>0.04189+0.05721</f>
        <v>9.9099999999999994E-2</v>
      </c>
      <c r="H34" s="6"/>
      <c r="I34" s="6">
        <v>19</v>
      </c>
      <c r="J34" s="6">
        <f t="shared" si="0"/>
        <v>76</v>
      </c>
      <c r="K34" s="6">
        <f t="shared" si="8"/>
        <v>8.2180000000000003E-2</v>
      </c>
      <c r="L34" s="6">
        <f t="shared" si="8"/>
        <v>8.2180000000000003E-2</v>
      </c>
      <c r="M34" s="6">
        <v>4.9897600000000004</v>
      </c>
      <c r="N34" s="6">
        <v>0.28028999999999998</v>
      </c>
      <c r="O34" s="6">
        <v>0.12311999999999999</v>
      </c>
      <c r="P34" s="6">
        <v>0.12281</v>
      </c>
      <c r="Q34" s="6">
        <v>0.11491</v>
      </c>
      <c r="R34" s="6">
        <v>0.88551999999999997</v>
      </c>
      <c r="S34" s="6">
        <v>0.10868</v>
      </c>
      <c r="T34" s="6"/>
      <c r="U34" s="6">
        <v>8</v>
      </c>
      <c r="V34" s="6">
        <v>32</v>
      </c>
      <c r="W34" s="6">
        <f>0.06798+0.0461</f>
        <v>0.11408</v>
      </c>
      <c r="X34" s="6"/>
      <c r="Y34" s="6"/>
      <c r="Z34" s="6">
        <v>8</v>
      </c>
      <c r="AA34" s="6">
        <v>32</v>
      </c>
      <c r="AB34" s="6">
        <f>0.04605+0.0461</f>
        <v>9.215000000000001E-2</v>
      </c>
      <c r="AC34" s="6"/>
      <c r="AD34" s="6">
        <v>19</v>
      </c>
      <c r="AE34" s="6">
        <f t="shared" si="1"/>
        <v>76</v>
      </c>
      <c r="AF34" s="6">
        <f t="shared" si="5"/>
        <v>4.6050000000000001E-2</v>
      </c>
      <c r="AG34" s="6">
        <f t="shared" si="5"/>
        <v>4.6050000000000001E-2</v>
      </c>
      <c r="AH34" s="6">
        <v>4.7289599999999998</v>
      </c>
      <c r="AI34" s="6">
        <v>0.26563999999999999</v>
      </c>
      <c r="AJ34" s="6">
        <v>0.11668000000000001</v>
      </c>
      <c r="AK34" s="6">
        <v>0.11638999999999999</v>
      </c>
      <c r="AL34" s="6">
        <v>0.1089</v>
      </c>
      <c r="AM34" s="6">
        <v>0.83923999999999999</v>
      </c>
      <c r="AN34" s="6">
        <v>0.10299999999999999</v>
      </c>
      <c r="AO34" s="6"/>
      <c r="AP34" s="6">
        <v>8</v>
      </c>
      <c r="AQ34" s="6">
        <v>32</v>
      </c>
      <c r="AR34" s="6">
        <f>0.06233+0.04329</f>
        <v>0.10562000000000001</v>
      </c>
      <c r="AS34" s="6"/>
      <c r="AT34" s="6"/>
      <c r="AU34" s="6">
        <v>8</v>
      </c>
      <c r="AV34" s="6">
        <v>32</v>
      </c>
      <c r="AW34" s="6">
        <f>0.04277</f>
        <v>4.2770000000000002E-2</v>
      </c>
      <c r="AX34" s="6"/>
      <c r="AY34" s="6">
        <v>19</v>
      </c>
      <c r="AZ34" s="6">
        <f t="shared" si="2"/>
        <v>76</v>
      </c>
      <c r="BA34" s="6">
        <v>4.2770000000000002E-2</v>
      </c>
      <c r="BB34" s="6">
        <v>4.2770000000000002E-2</v>
      </c>
      <c r="BC34" s="6">
        <v>4.4121199999999998</v>
      </c>
      <c r="BD34" s="6">
        <v>0.24784</v>
      </c>
      <c r="BE34" s="6">
        <v>0.10886999999999999</v>
      </c>
      <c r="BF34" s="6">
        <v>0.10859000000000001</v>
      </c>
      <c r="BG34" s="6">
        <v>0.10161000000000001</v>
      </c>
      <c r="BH34" s="6">
        <v>0.78300999999999998</v>
      </c>
      <c r="BI34" s="6">
        <v>9.6100000000000005E-2</v>
      </c>
      <c r="BJ34" s="6"/>
      <c r="BK34" s="6">
        <v>8</v>
      </c>
      <c r="BL34" s="6">
        <v>32</v>
      </c>
      <c r="BM34" s="6">
        <f>0.04025+0.03899</f>
        <v>7.9240000000000005E-2</v>
      </c>
      <c r="BN34" s="6"/>
      <c r="BO34" s="6"/>
      <c r="BP34" s="6"/>
      <c r="BQ34" s="6"/>
      <c r="BR34" s="6"/>
      <c r="BS34" s="6"/>
      <c r="BT34" s="6">
        <v>19</v>
      </c>
      <c r="BU34" s="6">
        <f t="shared" si="3"/>
        <v>76</v>
      </c>
      <c r="BV34" s="6">
        <v>4.0250000000000001E-2</v>
      </c>
      <c r="BW34" s="6">
        <v>4.0250000000000001E-2</v>
      </c>
      <c r="BX34" s="12">
        <v>4.0923499999999997</v>
      </c>
      <c r="BY34" s="6">
        <v>0.22988</v>
      </c>
      <c r="BZ34" s="6">
        <v>0.10098</v>
      </c>
      <c r="CA34" s="6">
        <v>0.10072</v>
      </c>
      <c r="CB34" s="6">
        <v>9.4240000000000004E-2</v>
      </c>
      <c r="CC34" s="6">
        <v>0.72626000000000002</v>
      </c>
      <c r="CD34" s="6">
        <v>8.9139999999999997E-2</v>
      </c>
      <c r="CE34" s="6">
        <f t="shared" si="6"/>
        <v>0.13449</v>
      </c>
      <c r="CF34" s="6"/>
      <c r="CG34" s="6"/>
      <c r="CH34" s="6"/>
      <c r="CI34" s="6"/>
      <c r="CJ34" s="6"/>
      <c r="CK34" s="6"/>
      <c r="CN34" s="6"/>
      <c r="CO34" s="6"/>
      <c r="DG34" s="19">
        <v>23</v>
      </c>
      <c r="DH34" s="6">
        <f t="shared" si="7"/>
        <v>92</v>
      </c>
      <c r="DI34" s="6">
        <v>0.23233999999999999</v>
      </c>
      <c r="EN34" s="16"/>
      <c r="EO34" s="6"/>
      <c r="EQ34" s="6"/>
      <c r="ER34" s="17"/>
      <c r="ES34" s="19"/>
      <c r="ET34" s="6"/>
      <c r="EV34" s="6"/>
      <c r="EX34" s="19"/>
      <c r="EY34" s="6"/>
      <c r="FA34" s="6"/>
    </row>
    <row r="35" spans="1:162" x14ac:dyDescent="0.2">
      <c r="A35" s="6"/>
      <c r="B35" s="6"/>
      <c r="C35" s="6"/>
      <c r="D35" s="6"/>
      <c r="E35" s="6">
        <v>16</v>
      </c>
      <c r="F35" s="6">
        <v>64</v>
      </c>
      <c r="G35" s="6">
        <f>0.08218+0.10637</f>
        <v>0.18855</v>
      </c>
      <c r="H35" s="6"/>
      <c r="I35" s="6">
        <v>20</v>
      </c>
      <c r="J35" s="6">
        <f t="shared" si="0"/>
        <v>80</v>
      </c>
      <c r="K35" s="6">
        <f>0.04699</f>
        <v>4.6989999999999997E-2</v>
      </c>
      <c r="L35" s="6">
        <f>0.04699</f>
        <v>4.6989999999999997E-2</v>
      </c>
      <c r="M35" s="6">
        <v>1.2495700000000001</v>
      </c>
      <c r="N35" s="6">
        <v>0.20297000000000001</v>
      </c>
      <c r="O35" s="6">
        <v>0.12277</v>
      </c>
      <c r="P35" s="6">
        <v>0.10596999999999999</v>
      </c>
      <c r="Q35" s="6">
        <v>0.10527</v>
      </c>
      <c r="R35" s="6">
        <v>0.12601999999999999</v>
      </c>
      <c r="S35" s="6">
        <v>0.1045</v>
      </c>
      <c r="T35" s="6"/>
      <c r="U35" s="6">
        <v>16</v>
      </c>
      <c r="V35" s="6">
        <v>64</v>
      </c>
      <c r="W35" s="6">
        <f>0.08251+0.13565</f>
        <v>0.21815999999999999</v>
      </c>
      <c r="X35" s="6"/>
      <c r="Y35" s="6"/>
      <c r="Z35" s="6">
        <v>16</v>
      </c>
      <c r="AA35" s="6">
        <v>64</v>
      </c>
      <c r="AB35" s="6">
        <f>0.04605+0.08572</f>
        <v>0.13177</v>
      </c>
      <c r="AC35" s="6"/>
      <c r="AD35" s="6">
        <v>20</v>
      </c>
      <c r="AE35" s="6">
        <f t="shared" si="1"/>
        <v>80</v>
      </c>
      <c r="AF35" s="6">
        <f t="shared" si="5"/>
        <v>4.6050000000000001E-2</v>
      </c>
      <c r="AG35" s="6">
        <f t="shared" si="5"/>
        <v>4.6050000000000001E-2</v>
      </c>
      <c r="AH35" s="6">
        <v>1.1842600000000001</v>
      </c>
      <c r="AI35" s="6">
        <v>0.19236</v>
      </c>
      <c r="AJ35" s="6">
        <v>0.11635</v>
      </c>
      <c r="AK35" s="6">
        <v>0.10044</v>
      </c>
      <c r="AL35" s="6">
        <v>9.9769999999999998E-2</v>
      </c>
      <c r="AM35" s="6">
        <v>0.11944</v>
      </c>
      <c r="AN35" s="6">
        <v>9.9040000000000003E-2</v>
      </c>
      <c r="AO35" s="6"/>
      <c r="AP35" s="6">
        <v>16</v>
      </c>
      <c r="AQ35" s="6">
        <v>64</v>
      </c>
      <c r="AR35" s="6">
        <f>0.07609+0.11852</f>
        <v>0.19461000000000001</v>
      </c>
      <c r="AS35" s="6"/>
      <c r="AT35" s="6"/>
      <c r="AU35" s="6">
        <v>16</v>
      </c>
      <c r="AV35" s="6">
        <v>64</v>
      </c>
      <c r="AW35" s="6">
        <f>0.04277</f>
        <v>4.2770000000000002E-2</v>
      </c>
      <c r="AX35" s="6"/>
      <c r="AY35" s="6">
        <v>20</v>
      </c>
      <c r="AZ35" s="6">
        <f t="shared" si="2"/>
        <v>80</v>
      </c>
      <c r="BA35" s="6">
        <v>4.2770000000000002E-2</v>
      </c>
      <c r="BB35" s="6">
        <v>4.2770000000000002E-2</v>
      </c>
      <c r="BC35" s="6">
        <v>1.1049199999999999</v>
      </c>
      <c r="BD35" s="6">
        <v>0.17946999999999999</v>
      </c>
      <c r="BE35" s="6">
        <v>0.10856</v>
      </c>
      <c r="BF35" s="6">
        <v>9.3710000000000002E-2</v>
      </c>
      <c r="BG35" s="6">
        <v>9.3079999999999996E-2</v>
      </c>
      <c r="BH35" s="6">
        <v>0.11144</v>
      </c>
      <c r="BI35" s="6">
        <v>9.2399999999999996E-2</v>
      </c>
      <c r="BJ35" s="6"/>
      <c r="BK35" s="6">
        <v>16</v>
      </c>
      <c r="BL35" s="6">
        <v>64</v>
      </c>
      <c r="BM35" s="6">
        <f>0.04025+0.07246</f>
        <v>0.11271</v>
      </c>
      <c r="BN35" s="6"/>
      <c r="BO35" s="6"/>
      <c r="BP35" s="6"/>
      <c r="BQ35" s="6"/>
      <c r="BR35" s="6"/>
      <c r="BS35" s="6"/>
      <c r="BT35" s="6">
        <v>20</v>
      </c>
      <c r="BU35" s="6">
        <f t="shared" si="3"/>
        <v>80</v>
      </c>
      <c r="BV35" s="6">
        <v>4.0250000000000001E-2</v>
      </c>
      <c r="BW35" s="6">
        <v>4.0250000000000001E-2</v>
      </c>
      <c r="BX35" s="12">
        <v>1.02484</v>
      </c>
      <c r="BY35" s="6">
        <v>0.16647000000000001</v>
      </c>
      <c r="BZ35" s="6">
        <v>0.10069</v>
      </c>
      <c r="CA35" s="6">
        <v>8.6910000000000001E-2</v>
      </c>
      <c r="CB35" s="6">
        <v>8.634E-2</v>
      </c>
      <c r="CC35" s="6">
        <v>0.10335999999999999</v>
      </c>
      <c r="CD35" s="6">
        <v>8.5709999999999995E-2</v>
      </c>
      <c r="CE35" s="6">
        <f t="shared" si="6"/>
        <v>0.12659000000000001</v>
      </c>
      <c r="CF35" s="6"/>
      <c r="CG35" s="6"/>
      <c r="CH35" s="6"/>
      <c r="CI35" s="6"/>
      <c r="CJ35" s="6"/>
      <c r="CK35" s="6"/>
      <c r="CN35" s="6"/>
      <c r="CO35" s="6"/>
      <c r="DG35" s="19" t="s">
        <v>124</v>
      </c>
      <c r="DH35" s="6" t="s">
        <v>125</v>
      </c>
      <c r="DI35" s="6">
        <v>4.75</v>
      </c>
      <c r="DJ35" s="6">
        <f>DI35/mo</f>
        <v>0.15573770491803279</v>
      </c>
      <c r="EN35" s="14" t="s">
        <v>48</v>
      </c>
      <c r="EO35" s="5" t="s">
        <v>49</v>
      </c>
      <c r="EP35" s="5" t="s">
        <v>148</v>
      </c>
      <c r="ER35" s="17"/>
      <c r="ES35" s="18" t="s">
        <v>48</v>
      </c>
      <c r="ET35" s="5" t="s">
        <v>49</v>
      </c>
      <c r="EU35" s="5" t="s">
        <v>78</v>
      </c>
      <c r="EX35" s="18" t="s">
        <v>48</v>
      </c>
      <c r="EY35" s="5" t="s">
        <v>49</v>
      </c>
      <c r="EZ35" s="5" t="s">
        <v>78</v>
      </c>
      <c r="FC35" s="18" t="s">
        <v>48</v>
      </c>
      <c r="FD35" s="18" t="s">
        <v>49</v>
      </c>
      <c r="FE35" s="5" t="s">
        <v>78</v>
      </c>
    </row>
    <row r="36" spans="1:162" x14ac:dyDescent="0.2">
      <c r="A36" s="6"/>
      <c r="B36" s="6"/>
      <c r="C36" s="6"/>
      <c r="D36" s="6"/>
      <c r="E36" s="6">
        <v>21</v>
      </c>
      <c r="F36" s="6">
        <v>84</v>
      </c>
      <c r="G36" s="6">
        <f>0.04699+0.076</f>
        <v>0.12298999999999999</v>
      </c>
      <c r="H36" s="6"/>
      <c r="I36" s="6">
        <v>21</v>
      </c>
      <c r="J36" s="6">
        <f t="shared" si="0"/>
        <v>84</v>
      </c>
      <c r="K36" s="6">
        <f t="shared" ref="K36:L38" si="9">0.04699</f>
        <v>4.6989999999999997E-2</v>
      </c>
      <c r="L36" s="6">
        <f t="shared" si="9"/>
        <v>4.6989999999999997E-2</v>
      </c>
      <c r="M36" s="6">
        <v>0.12973999999999999</v>
      </c>
      <c r="N36" s="6">
        <v>0.11064</v>
      </c>
      <c r="O36" s="6">
        <v>0.10985</v>
      </c>
      <c r="P36" s="6">
        <v>0.10362</v>
      </c>
      <c r="Q36" s="6">
        <v>9.9440000000000001E-2</v>
      </c>
      <c r="R36" s="6">
        <v>9.851E-2</v>
      </c>
      <c r="S36" s="6">
        <v>9.7189999999999999E-2</v>
      </c>
      <c r="T36" s="6"/>
      <c r="U36" s="6">
        <v>21</v>
      </c>
      <c r="V36" s="6">
        <v>84</v>
      </c>
      <c r="W36" s="6">
        <f>0.05245+0.07196</f>
        <v>0.12440999999999999</v>
      </c>
      <c r="X36" s="6"/>
      <c r="Y36" s="6"/>
      <c r="Z36" s="6">
        <v>21</v>
      </c>
      <c r="AA36" s="6">
        <v>84</v>
      </c>
      <c r="AB36" s="6">
        <f>0.04605+0.07196</f>
        <v>0.11801</v>
      </c>
      <c r="AC36" s="6"/>
      <c r="AD36" s="6">
        <v>21</v>
      </c>
      <c r="AE36" s="6">
        <f t="shared" si="1"/>
        <v>84</v>
      </c>
      <c r="AF36" s="6">
        <f t="shared" si="5"/>
        <v>4.6050000000000001E-2</v>
      </c>
      <c r="AG36" s="6">
        <f t="shared" si="5"/>
        <v>4.6050000000000001E-2</v>
      </c>
      <c r="AH36" s="6">
        <v>0.12296</v>
      </c>
      <c r="AI36" s="6">
        <v>0.10485999999999999</v>
      </c>
      <c r="AJ36" s="6">
        <v>0.10410999999999999</v>
      </c>
      <c r="AK36" s="6">
        <v>9.8199999999999996E-2</v>
      </c>
      <c r="AL36" s="6">
        <v>9.4240000000000004E-2</v>
      </c>
      <c r="AM36" s="6">
        <v>9.3359999999999999E-2</v>
      </c>
      <c r="AN36" s="6">
        <v>9.2109999999999997E-2</v>
      </c>
      <c r="AO36" s="6"/>
      <c r="AP36" s="6">
        <v>21</v>
      </c>
      <c r="AQ36" s="6">
        <v>84</v>
      </c>
      <c r="AR36" s="6">
        <f>0.04805+0.06747</f>
        <v>0.11552000000000001</v>
      </c>
      <c r="AS36" s="6"/>
      <c r="AT36" s="6"/>
      <c r="AU36" s="6">
        <v>21</v>
      </c>
      <c r="AV36" s="6">
        <v>84</v>
      </c>
      <c r="AW36" s="6">
        <f>0.04277</f>
        <v>4.2770000000000002E-2</v>
      </c>
      <c r="AX36" s="6"/>
      <c r="AY36" s="6">
        <v>21</v>
      </c>
      <c r="AZ36" s="6">
        <f t="shared" si="2"/>
        <v>84</v>
      </c>
      <c r="BA36" s="6">
        <v>4.2770000000000002E-2</v>
      </c>
      <c r="BB36" s="6">
        <v>4.2770000000000002E-2</v>
      </c>
      <c r="BC36" s="6">
        <v>0.11472</v>
      </c>
      <c r="BD36" s="6">
        <v>9.783E-2</v>
      </c>
      <c r="BE36" s="6">
        <v>9.7129999999999994E-2</v>
      </c>
      <c r="BF36" s="6">
        <v>9.1619999999999993E-2</v>
      </c>
      <c r="BG36" s="6">
        <v>8.7929999999999994E-2</v>
      </c>
      <c r="BH36" s="6">
        <v>8.7110000000000007E-2</v>
      </c>
      <c r="BI36" s="6">
        <v>8.5940000000000003E-2</v>
      </c>
      <c r="BJ36" s="6"/>
      <c r="BK36" s="6">
        <v>21</v>
      </c>
      <c r="BL36" s="6">
        <v>84</v>
      </c>
      <c r="BM36" s="6">
        <f>0.04025+0.06083</f>
        <v>0.10108</v>
      </c>
      <c r="BN36" s="6"/>
      <c r="BO36" s="6"/>
      <c r="BP36" s="6"/>
      <c r="BQ36" s="6"/>
      <c r="BR36" s="6"/>
      <c r="BS36" s="6"/>
      <c r="BT36" s="6">
        <v>21</v>
      </c>
      <c r="BU36" s="6">
        <f t="shared" si="3"/>
        <v>84</v>
      </c>
      <c r="BV36" s="6">
        <v>4.0250000000000001E-2</v>
      </c>
      <c r="BW36" s="6">
        <v>4.0250000000000001E-2</v>
      </c>
      <c r="BX36" s="12">
        <v>0.10641</v>
      </c>
      <c r="BY36" s="6">
        <v>9.0740000000000001E-2</v>
      </c>
      <c r="BZ36" s="6">
        <v>9.0090000000000003E-2</v>
      </c>
      <c r="CA36" s="6">
        <v>8.498E-2</v>
      </c>
      <c r="CB36" s="6">
        <v>8.1549999999999997E-2</v>
      </c>
      <c r="CC36" s="6">
        <v>8.0799999999999997E-2</v>
      </c>
      <c r="CD36" s="6">
        <v>7.9710000000000003E-2</v>
      </c>
      <c r="CE36" s="6">
        <f t="shared" si="6"/>
        <v>0.12179999999999999</v>
      </c>
      <c r="CF36" s="6"/>
      <c r="CG36" s="6"/>
      <c r="CH36" s="6"/>
      <c r="CI36" s="6"/>
      <c r="CJ36" s="6"/>
      <c r="CK36" s="6"/>
      <c r="CN36" s="6"/>
      <c r="CO36" s="6"/>
      <c r="EN36" s="16">
        <v>0</v>
      </c>
      <c r="EO36" s="6">
        <f>EN36/$B$1</f>
        <v>0</v>
      </c>
      <c r="EP36" s="6">
        <v>0.10218000000000001</v>
      </c>
      <c r="ER36" s="17"/>
      <c r="ES36" s="19">
        <v>0</v>
      </c>
      <c r="ET36" s="6">
        <f>ES36/$B$1</f>
        <v>0</v>
      </c>
      <c r="EU36" s="6">
        <v>0.10136000000000001</v>
      </c>
      <c r="EX36" s="19">
        <v>0</v>
      </c>
      <c r="EY36" s="6">
        <f>EX36/$B$1</f>
        <v>0</v>
      </c>
      <c r="EZ36" s="6">
        <v>9.2799999999999994E-2</v>
      </c>
      <c r="FC36" s="19">
        <v>0</v>
      </c>
      <c r="FD36" s="19">
        <f>FC36/$B$1</f>
        <v>0</v>
      </c>
      <c r="FE36" s="6">
        <f>0.12729+0.05903</f>
        <v>0.18631999999999999</v>
      </c>
    </row>
    <row r="37" spans="1:162" x14ac:dyDescent="0.2">
      <c r="A37" s="6"/>
      <c r="B37" s="6"/>
      <c r="C37" s="6"/>
      <c r="D37" s="6"/>
      <c r="E37" s="6" t="s">
        <v>54</v>
      </c>
      <c r="F37" s="6" t="s">
        <v>94</v>
      </c>
      <c r="G37" s="6">
        <f>14.85</f>
        <v>14.85</v>
      </c>
      <c r="H37" s="6">
        <f>G37/(mo)</f>
        <v>0.48688524590163934</v>
      </c>
      <c r="I37" s="6">
        <v>22</v>
      </c>
      <c r="J37" s="6">
        <f t="shared" si="0"/>
        <v>88</v>
      </c>
      <c r="K37" s="6">
        <f t="shared" si="9"/>
        <v>4.6989999999999997E-2</v>
      </c>
      <c r="L37" s="6">
        <f t="shared" si="9"/>
        <v>4.6989999999999997E-2</v>
      </c>
      <c r="M37" s="6">
        <v>9.8119999999999999E-2</v>
      </c>
      <c r="N37" s="6">
        <v>0.10199</v>
      </c>
      <c r="O37" s="6">
        <v>0.1017</v>
      </c>
      <c r="P37" s="6">
        <v>0.10049</v>
      </c>
      <c r="Q37" s="6">
        <v>9.6379999999999993E-2</v>
      </c>
      <c r="R37" s="6">
        <v>9.5519999999999994E-2</v>
      </c>
      <c r="S37" s="6">
        <v>9.4270000000000007E-2</v>
      </c>
      <c r="T37" s="6"/>
      <c r="U37" s="11" t="s">
        <v>54</v>
      </c>
      <c r="V37" s="6" t="s">
        <v>94</v>
      </c>
      <c r="W37" s="11">
        <f>12.14</f>
        <v>12.14</v>
      </c>
      <c r="X37" s="6">
        <f>W37/(mo)</f>
        <v>0.3980327868852459</v>
      </c>
      <c r="Y37" s="6"/>
      <c r="Z37" s="6" t="s">
        <v>54</v>
      </c>
      <c r="AA37" s="6" t="s">
        <v>94</v>
      </c>
      <c r="AB37" s="6">
        <f>17.57</f>
        <v>17.57</v>
      </c>
      <c r="AC37" s="6">
        <f>AB37/(mo)</f>
        <v>0.57606557377049183</v>
      </c>
      <c r="AD37" s="6">
        <v>22</v>
      </c>
      <c r="AE37" s="6">
        <f t="shared" si="1"/>
        <v>88</v>
      </c>
      <c r="AF37" s="6">
        <f t="shared" si="5"/>
        <v>4.6050000000000001E-2</v>
      </c>
      <c r="AG37" s="6">
        <f t="shared" si="5"/>
        <v>4.6050000000000001E-2</v>
      </c>
      <c r="AH37" s="6">
        <v>9.2990000000000003E-2</v>
      </c>
      <c r="AI37" s="6">
        <v>9.6659999999999996E-2</v>
      </c>
      <c r="AJ37" s="6">
        <v>9.6390000000000003E-2</v>
      </c>
      <c r="AK37" s="6">
        <v>9.5240000000000005E-2</v>
      </c>
      <c r="AL37" s="6">
        <v>9.1340000000000005E-2</v>
      </c>
      <c r="AM37" s="6">
        <v>9.0529999999999999E-2</v>
      </c>
      <c r="AN37" s="6">
        <v>8.9340000000000003E-2</v>
      </c>
      <c r="AO37" s="6"/>
      <c r="AP37" s="11" t="s">
        <v>54</v>
      </c>
      <c r="AQ37" s="6" t="s">
        <v>94</v>
      </c>
      <c r="AR37" s="11">
        <f>12.93</f>
        <v>12.93</v>
      </c>
      <c r="AS37" s="6">
        <f>AR37/(mo)</f>
        <v>0.42393442622950817</v>
      </c>
      <c r="AT37" s="6"/>
      <c r="AU37" s="11" t="s">
        <v>54</v>
      </c>
      <c r="AV37" s="6" t="s">
        <v>94</v>
      </c>
      <c r="AW37" s="11">
        <v>18.940000000000001</v>
      </c>
      <c r="AX37" s="6">
        <f>AW37/(mo)</f>
        <v>0.62098360655737705</v>
      </c>
      <c r="AY37" s="6">
        <v>22</v>
      </c>
      <c r="AZ37" s="6">
        <f t="shared" si="2"/>
        <v>88</v>
      </c>
      <c r="BA37" s="6">
        <v>4.2770000000000002E-2</v>
      </c>
      <c r="BB37" s="6">
        <v>4.2770000000000002E-2</v>
      </c>
      <c r="BC37" s="6">
        <v>8.6760000000000004E-2</v>
      </c>
      <c r="BD37" s="6">
        <v>9.0179999999999996E-2</v>
      </c>
      <c r="BE37" s="6">
        <v>8.9929999999999996E-2</v>
      </c>
      <c r="BF37" s="6">
        <v>8.8859999999999995E-2</v>
      </c>
      <c r="BG37" s="6">
        <v>8.5220000000000004E-2</v>
      </c>
      <c r="BH37" s="6">
        <v>8.4459999999999993E-2</v>
      </c>
      <c r="BI37" s="6">
        <v>8.3349999999999994E-2</v>
      </c>
      <c r="BJ37" s="6"/>
      <c r="BK37" s="11" t="s">
        <v>54</v>
      </c>
      <c r="BL37" s="6" t="s">
        <v>94</v>
      </c>
      <c r="BM37" s="6">
        <f>19.54</f>
        <v>19.54</v>
      </c>
      <c r="BN37" s="6">
        <f>BM37/(mo)</f>
        <v>0.64065573770491802</v>
      </c>
      <c r="BO37" s="6"/>
      <c r="BP37" s="11"/>
      <c r="BQ37" s="6"/>
      <c r="BR37" s="6"/>
      <c r="BS37" s="6"/>
      <c r="BT37" s="6">
        <v>22</v>
      </c>
      <c r="BU37" s="6">
        <f t="shared" si="3"/>
        <v>88</v>
      </c>
      <c r="BV37" s="6">
        <v>4.0250000000000001E-2</v>
      </c>
      <c r="BW37" s="6">
        <v>4.0250000000000001E-2</v>
      </c>
      <c r="BX37" s="12">
        <v>8.047E-2</v>
      </c>
      <c r="BY37" s="6">
        <v>8.3650000000000002E-2</v>
      </c>
      <c r="BZ37" s="6">
        <v>8.3409999999999998E-2</v>
      </c>
      <c r="CA37" s="6">
        <v>8.2419999999999993E-2</v>
      </c>
      <c r="CB37" s="6">
        <v>7.9039999999999999E-2</v>
      </c>
      <c r="CC37" s="6">
        <v>7.8340000000000007E-2</v>
      </c>
      <c r="CD37" s="6">
        <v>7.7310000000000004E-2</v>
      </c>
      <c r="CE37" s="6">
        <f t="shared" si="6"/>
        <v>0.11929000000000001</v>
      </c>
      <c r="CF37" s="6"/>
      <c r="CG37" s="6"/>
      <c r="CH37" s="6"/>
      <c r="CI37" s="6"/>
      <c r="CJ37" s="6"/>
      <c r="CK37" s="6"/>
      <c r="CN37" s="6"/>
      <c r="CO37" s="6"/>
      <c r="EN37" s="16">
        <v>14</v>
      </c>
      <c r="EO37" s="6">
        <f>EN37/$B$1</f>
        <v>56</v>
      </c>
      <c r="EP37" s="6">
        <v>0.11448999999999999</v>
      </c>
      <c r="ER37" s="17"/>
      <c r="ES37" s="19">
        <v>14</v>
      </c>
      <c r="ET37" s="6">
        <f>ES37/$B$1</f>
        <v>56</v>
      </c>
      <c r="EU37" s="6">
        <v>0.12801000000000001</v>
      </c>
      <c r="EX37" s="19">
        <v>14</v>
      </c>
      <c r="EY37" s="6">
        <f>EX37/$B$1</f>
        <v>56</v>
      </c>
      <c r="EZ37" s="6">
        <v>0.11693000000000001</v>
      </c>
      <c r="FC37" s="19">
        <v>14</v>
      </c>
      <c r="FD37" s="19">
        <f>FC37/$B$1</f>
        <v>56</v>
      </c>
      <c r="FE37" s="6">
        <f>0.12729+0.0764</f>
        <v>0.20368999999999998</v>
      </c>
    </row>
    <row r="38" spans="1:162" x14ac:dyDescent="0.2">
      <c r="A38" s="6"/>
      <c r="B38" s="6"/>
      <c r="C38" s="6"/>
      <c r="D38" s="6"/>
      <c r="E38" s="6"/>
      <c r="F38" s="6"/>
      <c r="G38" s="6"/>
      <c r="H38" s="6"/>
      <c r="I38" s="6">
        <v>23</v>
      </c>
      <c r="J38" s="6">
        <f t="shared" si="0"/>
        <v>92</v>
      </c>
      <c r="K38" s="6">
        <f t="shared" si="9"/>
        <v>4.6989999999999997E-2</v>
      </c>
      <c r="L38" s="6">
        <f t="shared" si="9"/>
        <v>4.6989999999999997E-2</v>
      </c>
      <c r="M38" s="6">
        <v>8.5589999999999999E-2</v>
      </c>
      <c r="N38" s="6">
        <v>8.7510000000000004E-2</v>
      </c>
      <c r="O38" s="6">
        <v>8.4339999999999998E-2</v>
      </c>
      <c r="P38" s="6">
        <v>8.9359999999999995E-2</v>
      </c>
      <c r="Q38" s="6">
        <v>8.412E-2</v>
      </c>
      <c r="R38" s="6">
        <v>8.3280000000000007E-2</v>
      </c>
      <c r="S38" s="6">
        <v>8.251E-2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>
        <v>23</v>
      </c>
      <c r="AE38" s="6">
        <f t="shared" si="1"/>
        <v>92</v>
      </c>
      <c r="AF38" s="6">
        <f t="shared" si="5"/>
        <v>4.6050000000000001E-2</v>
      </c>
      <c r="AG38" s="6">
        <f t="shared" si="5"/>
        <v>4.6050000000000001E-2</v>
      </c>
      <c r="AH38" s="6">
        <v>8.1119999999999998E-2</v>
      </c>
      <c r="AI38" s="6">
        <v>8.294E-2</v>
      </c>
      <c r="AJ38" s="6">
        <v>7.9930000000000001E-2</v>
      </c>
      <c r="AK38" s="6">
        <v>8.4690000000000001E-2</v>
      </c>
      <c r="AL38" s="6">
        <v>7.9719999999999999E-2</v>
      </c>
      <c r="AM38" s="6">
        <v>7.893E-2</v>
      </c>
      <c r="AN38" s="6">
        <v>7.8200000000000006E-2</v>
      </c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>
        <v>23</v>
      </c>
      <c r="AZ38" s="6">
        <f t="shared" si="2"/>
        <v>92</v>
      </c>
      <c r="BA38" s="6">
        <v>4.2770000000000002E-2</v>
      </c>
      <c r="BB38" s="6">
        <v>4.2770000000000002E-2</v>
      </c>
      <c r="BC38" s="6">
        <v>7.5689999999999993E-2</v>
      </c>
      <c r="BD38" s="6">
        <v>7.7380000000000004E-2</v>
      </c>
      <c r="BE38" s="6">
        <v>7.4579999999999994E-2</v>
      </c>
      <c r="BF38" s="6">
        <v>7.9009999999999997E-2</v>
      </c>
      <c r="BG38" s="6">
        <v>7.4380000000000002E-2</v>
      </c>
      <c r="BH38" s="6">
        <v>7.3639999999999997E-2</v>
      </c>
      <c r="BI38" s="6">
        <v>7.2959999999999997E-2</v>
      </c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>
        <v>23</v>
      </c>
      <c r="BU38" s="6">
        <f t="shared" si="3"/>
        <v>92</v>
      </c>
      <c r="BV38" s="6">
        <v>4.0250000000000001E-2</v>
      </c>
      <c r="BW38" s="6">
        <v>4.0250000000000001E-2</v>
      </c>
      <c r="BX38" s="12">
        <v>7.0199999999999999E-2</v>
      </c>
      <c r="BY38" s="6">
        <v>7.177E-2</v>
      </c>
      <c r="BZ38" s="6">
        <v>6.9169999999999995E-2</v>
      </c>
      <c r="CA38" s="6">
        <v>7.3289999999999994E-2</v>
      </c>
      <c r="CB38" s="6">
        <v>6.8989999999999996E-2</v>
      </c>
      <c r="CC38" s="6">
        <v>6.83E-2</v>
      </c>
      <c r="CD38" s="6">
        <v>6.7669999999999994E-2</v>
      </c>
      <c r="CE38" s="6">
        <f t="shared" si="6"/>
        <v>0.10924</v>
      </c>
      <c r="CF38" s="6"/>
      <c r="CG38" s="6"/>
      <c r="CH38" s="6"/>
      <c r="CI38" s="6"/>
      <c r="CJ38" s="6"/>
      <c r="CK38" s="6"/>
      <c r="CN38" s="6"/>
      <c r="CO38" s="6"/>
      <c r="EN38" s="16">
        <v>16</v>
      </c>
      <c r="EO38" s="6">
        <f>EN38/$B$1</f>
        <v>64</v>
      </c>
      <c r="EP38" s="6">
        <v>0.23960999999999999</v>
      </c>
      <c r="ER38" s="17"/>
      <c r="ES38" s="19">
        <v>16</v>
      </c>
      <c r="ET38" s="6">
        <f>ES38/$B$1</f>
        <v>64</v>
      </c>
      <c r="EU38" s="6">
        <v>0.21992999999999999</v>
      </c>
      <c r="EX38" s="19">
        <v>16</v>
      </c>
      <c r="EY38" s="6">
        <f>EX38/$B$1</f>
        <v>64</v>
      </c>
      <c r="EZ38" s="6">
        <v>0.20016999999999999</v>
      </c>
      <c r="FC38" s="19">
        <v>16</v>
      </c>
      <c r="FD38" s="19">
        <f>FC38/$B$1</f>
        <v>64</v>
      </c>
      <c r="FE38" s="6">
        <f>0.12729+0.13581</f>
        <v>0.2631</v>
      </c>
    </row>
    <row r="39" spans="1:162" x14ac:dyDescent="0.2">
      <c r="A39" s="6"/>
      <c r="B39" s="6"/>
      <c r="C39" s="6"/>
      <c r="D39" s="6"/>
      <c r="E39" s="6"/>
      <c r="F39" s="6"/>
      <c r="G39" s="6"/>
      <c r="H39" s="6"/>
      <c r="I39" s="6" t="s">
        <v>54</v>
      </c>
      <c r="J39" s="6" t="s">
        <v>98</v>
      </c>
      <c r="K39" s="6" t="s">
        <v>55</v>
      </c>
      <c r="L39" s="6">
        <f>14.85+4.73</f>
        <v>19.579999999999998</v>
      </c>
      <c r="M39" s="6">
        <f>L39/mo</f>
        <v>0.64196721311475402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 t="s">
        <v>54</v>
      </c>
      <c r="AE39" s="6" t="s">
        <v>98</v>
      </c>
      <c r="AF39" s="6" t="s">
        <v>55</v>
      </c>
      <c r="AG39" s="6">
        <f>17.57+15.5</f>
        <v>33.07</v>
      </c>
      <c r="AH39" s="6">
        <f>AG39/mo</f>
        <v>1.0842622950819671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 t="s">
        <v>54</v>
      </c>
      <c r="AZ39" s="6" t="s">
        <v>98</v>
      </c>
      <c r="BA39" s="6" t="s">
        <v>55</v>
      </c>
      <c r="BB39" s="6">
        <f>18.94+16.14</f>
        <v>35.08</v>
      </c>
      <c r="BC39" s="6">
        <f>BB39/mo</f>
        <v>1.1501639344262296</v>
      </c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 t="s">
        <v>54</v>
      </c>
      <c r="BU39" s="6" t="s">
        <v>98</v>
      </c>
      <c r="BV39" s="6" t="s">
        <v>55</v>
      </c>
      <c r="BW39" s="6">
        <f>19.54+15.84</f>
        <v>35.379999999999995</v>
      </c>
      <c r="BX39" s="6">
        <f>BW39/mo</f>
        <v>1.1599999999999999</v>
      </c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EN39" s="16">
        <v>21</v>
      </c>
      <c r="EO39" s="6">
        <f>EN39/$B$1</f>
        <v>84</v>
      </c>
      <c r="EP39" s="6">
        <v>0.11448999999999999</v>
      </c>
      <c r="ER39" s="17"/>
      <c r="ES39" s="19">
        <v>21</v>
      </c>
      <c r="ET39" s="6">
        <f>ES39/$B$1</f>
        <v>84</v>
      </c>
      <c r="EU39" s="6">
        <v>0.12801000000000001</v>
      </c>
      <c r="EX39" s="19">
        <v>21</v>
      </c>
      <c r="EY39" s="6">
        <f>EX39/$B$1</f>
        <v>84</v>
      </c>
      <c r="EZ39" s="6">
        <v>0.11693000000000001</v>
      </c>
      <c r="FC39" s="19">
        <v>21</v>
      </c>
      <c r="FD39" s="19">
        <f>FC39/$B$1</f>
        <v>84</v>
      </c>
      <c r="FE39" s="6">
        <f>0.12729+0.0764</f>
        <v>0.20368999999999998</v>
      </c>
    </row>
    <row r="40" spans="1:162" x14ac:dyDescent="0.2">
      <c r="A40" s="6"/>
      <c r="B40" s="6"/>
      <c r="C40" s="6"/>
      <c r="D40" s="6"/>
      <c r="E40" s="6"/>
      <c r="F40" s="6"/>
      <c r="G40" s="6"/>
      <c r="H40" s="6"/>
      <c r="I40" s="6"/>
      <c r="J40" s="6" t="s">
        <v>103</v>
      </c>
      <c r="K40" s="6" t="s">
        <v>94</v>
      </c>
      <c r="L40" s="6">
        <f>14.85</f>
        <v>14.85</v>
      </c>
      <c r="M40" s="6">
        <f>L40/mo</f>
        <v>0.48688524590163934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 t="s">
        <v>99</v>
      </c>
      <c r="AF40" s="6" t="s">
        <v>94</v>
      </c>
      <c r="AG40" s="6">
        <f>17.57</f>
        <v>17.57</v>
      </c>
      <c r="AH40" s="6">
        <f>AG40/mo</f>
        <v>0.57606557377049183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 t="s">
        <v>99</v>
      </c>
      <c r="BA40" s="6" t="s">
        <v>94</v>
      </c>
      <c r="BB40" s="6">
        <v>18.940000000000001</v>
      </c>
      <c r="BC40" s="6">
        <f>BB40/mo</f>
        <v>0.62098360655737705</v>
      </c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 t="s">
        <v>99</v>
      </c>
      <c r="BV40" s="6" t="s">
        <v>94</v>
      </c>
      <c r="BW40" s="6">
        <v>19.54</v>
      </c>
      <c r="BX40" s="6">
        <f>BW40/mo</f>
        <v>0.64065573770491802</v>
      </c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EN40" s="16" t="s">
        <v>145</v>
      </c>
      <c r="EO40" s="6" t="s">
        <v>146</v>
      </c>
      <c r="EP40">
        <f>30.68/10</f>
        <v>3.0680000000000001</v>
      </c>
      <c r="EQ40" s="6">
        <f>EP40/mo</f>
        <v>0.10059016393442623</v>
      </c>
      <c r="ER40" s="17"/>
      <c r="ES40" s="19" t="s">
        <v>145</v>
      </c>
      <c r="ET40" s="6" t="s">
        <v>155</v>
      </c>
      <c r="EU40">
        <f>31.32+28.74</f>
        <v>60.06</v>
      </c>
      <c r="EV40" s="6">
        <f>EU40/mo</f>
        <v>1.9691803278688524</v>
      </c>
      <c r="EX40" s="19" t="s">
        <v>145</v>
      </c>
      <c r="EY40" s="6" t="s">
        <v>157</v>
      </c>
      <c r="EZ40">
        <f>18.63+1.12+34.2</f>
        <v>53.95</v>
      </c>
      <c r="FA40" s="6">
        <f>EZ40/mo</f>
        <v>1.7688524590163934</v>
      </c>
      <c r="FC40" t="s">
        <v>152</v>
      </c>
      <c r="FD40" t="s">
        <v>153</v>
      </c>
      <c r="FE40" s="6">
        <v>4.57</v>
      </c>
      <c r="FF40">
        <f>FE40/mo</f>
        <v>0.14983606557377049</v>
      </c>
    </row>
    <row r="41" spans="1:162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 t="s">
        <v>100</v>
      </c>
      <c r="AF41" s="6" t="s">
        <v>57</v>
      </c>
      <c r="AG41" s="6">
        <f>17.57+5.56</f>
        <v>23.13</v>
      </c>
      <c r="AH41" s="6">
        <f>AG41/mo</f>
        <v>0.75836065573770484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 t="s">
        <v>100</v>
      </c>
      <c r="BA41" s="6" t="s">
        <v>57</v>
      </c>
      <c r="BB41" s="6">
        <f>18.94+5.47</f>
        <v>24.41</v>
      </c>
      <c r="BC41" s="6">
        <f>BB41/mo</f>
        <v>0.80032786885245899</v>
      </c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 t="s">
        <v>100</v>
      </c>
      <c r="BV41" s="6" t="s">
        <v>57</v>
      </c>
      <c r="BW41" s="6">
        <f>19.54+5.33</f>
        <v>24.869999999999997</v>
      </c>
      <c r="BX41" s="6">
        <f>BW41/mo</f>
        <v>0.81540983606557371</v>
      </c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ER41" s="17"/>
      <c r="ES41" s="17"/>
      <c r="EX41" s="17"/>
    </row>
    <row r="42" spans="1:162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 t="s">
        <v>101</v>
      </c>
      <c r="AF42" s="6" t="s">
        <v>94</v>
      </c>
      <c r="AG42" s="6">
        <f>17.57</f>
        <v>17.57</v>
      </c>
      <c r="AH42" s="6">
        <f>AG42/mo</f>
        <v>0.57606557377049183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 t="s">
        <v>101</v>
      </c>
      <c r="BA42" s="6" t="s">
        <v>94</v>
      </c>
      <c r="BB42" s="6">
        <v>18.940000000000001</v>
      </c>
      <c r="BC42" s="6">
        <f>BB42/mo</f>
        <v>0.62098360655737705</v>
      </c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 t="s">
        <v>101</v>
      </c>
      <c r="BV42" s="6" t="s">
        <v>94</v>
      </c>
      <c r="BW42" s="6">
        <v>19.54</v>
      </c>
      <c r="BX42" s="6">
        <f>BW42/mo</f>
        <v>0.64065573770491802</v>
      </c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N42" s="6"/>
      <c r="CO42" s="6"/>
      <c r="EN42" s="14" t="s">
        <v>48</v>
      </c>
      <c r="EO42" s="5" t="s">
        <v>49</v>
      </c>
      <c r="EP42" s="5" t="s">
        <v>149</v>
      </c>
      <c r="ER42" s="17"/>
      <c r="ES42" s="18" t="s">
        <v>48</v>
      </c>
      <c r="ET42" s="5" t="s">
        <v>49</v>
      </c>
      <c r="EU42" s="5" t="s">
        <v>149</v>
      </c>
      <c r="EX42" s="18" t="s">
        <v>48</v>
      </c>
      <c r="EY42" s="5" t="s">
        <v>49</v>
      </c>
      <c r="EZ42" s="5" t="s">
        <v>149</v>
      </c>
      <c r="FC42" s="18" t="s">
        <v>48</v>
      </c>
      <c r="FD42" s="18" t="s">
        <v>49</v>
      </c>
      <c r="FE42" s="5" t="s">
        <v>149</v>
      </c>
    </row>
    <row r="43" spans="1:162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N43" s="6"/>
      <c r="CO43" s="6"/>
      <c r="EN43" s="16">
        <v>0</v>
      </c>
      <c r="EO43" s="6">
        <f t="shared" ref="EO43:EO48" si="10">EN43/$B$1</f>
        <v>0</v>
      </c>
      <c r="EP43" s="6">
        <v>0.10218000000000001</v>
      </c>
      <c r="ER43" s="17"/>
      <c r="ES43" s="19">
        <v>0</v>
      </c>
      <c r="ET43" s="6">
        <f t="shared" ref="ET43:ET48" si="11">ES43/$B$1</f>
        <v>0</v>
      </c>
      <c r="EU43" s="6">
        <v>0.10136000000000001</v>
      </c>
      <c r="EX43" s="19">
        <v>0</v>
      </c>
      <c r="EY43" s="6">
        <f t="shared" ref="EY43:EY48" si="12">EX43/$B$1</f>
        <v>0</v>
      </c>
      <c r="EZ43" s="6">
        <v>9.2799999999999994E-2</v>
      </c>
      <c r="FC43" s="19">
        <v>0</v>
      </c>
      <c r="FD43" s="6">
        <f t="shared" ref="FD43:FD48" si="13">FC43/$B$1</f>
        <v>0</v>
      </c>
      <c r="FE43" s="6">
        <f>0.12729+0.05903</f>
        <v>0.18631999999999999</v>
      </c>
    </row>
    <row r="44" spans="1:162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N44" s="6"/>
      <c r="CO44" s="6"/>
      <c r="EN44" s="16">
        <v>6</v>
      </c>
      <c r="EO44" s="6">
        <f t="shared" si="10"/>
        <v>24</v>
      </c>
      <c r="EP44" s="6">
        <v>0.11448999999999999</v>
      </c>
      <c r="ER44" s="17"/>
      <c r="ES44" s="19">
        <v>6</v>
      </c>
      <c r="ET44" s="6">
        <f t="shared" si="11"/>
        <v>24</v>
      </c>
      <c r="EU44" s="6">
        <v>0.12801000000000001</v>
      </c>
      <c r="EX44" s="19">
        <v>6</v>
      </c>
      <c r="EY44" s="6">
        <f t="shared" si="12"/>
        <v>24</v>
      </c>
      <c r="EZ44" s="6">
        <v>0.11693000000000001</v>
      </c>
      <c r="FC44" s="19">
        <v>6</v>
      </c>
      <c r="FD44" s="6">
        <f t="shared" si="13"/>
        <v>24</v>
      </c>
      <c r="FE44" s="6">
        <f>0.12729+0.0764</f>
        <v>0.20368999999999998</v>
      </c>
    </row>
    <row r="45" spans="1:162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CF45" s="6"/>
      <c r="CG45" s="6"/>
      <c r="CH45" s="6"/>
      <c r="CI45" s="6"/>
      <c r="CJ45" s="6"/>
      <c r="CK45" s="6"/>
      <c r="CN45" s="6"/>
      <c r="CO45" s="6"/>
      <c r="EN45" s="16">
        <v>10</v>
      </c>
      <c r="EO45" s="6">
        <f t="shared" si="10"/>
        <v>40</v>
      </c>
      <c r="EP45" s="6">
        <v>0.10218000000000001</v>
      </c>
      <c r="ER45" s="17"/>
      <c r="ES45" s="19">
        <v>10</v>
      </c>
      <c r="ET45" s="6">
        <f t="shared" si="11"/>
        <v>40</v>
      </c>
      <c r="EU45" s="6">
        <v>0.10136000000000001</v>
      </c>
      <c r="EX45" s="19">
        <v>10</v>
      </c>
      <c r="EY45" s="6">
        <f t="shared" si="12"/>
        <v>40</v>
      </c>
      <c r="EZ45" s="6">
        <v>9.2799999999999994E-2</v>
      </c>
      <c r="FC45" s="19">
        <v>10</v>
      </c>
      <c r="FD45" s="6">
        <f t="shared" si="13"/>
        <v>40</v>
      </c>
      <c r="FE45" s="6">
        <f>0.12729+0.05903</f>
        <v>0.18631999999999999</v>
      </c>
    </row>
    <row r="46" spans="1:162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N46" s="6"/>
      <c r="CO46" s="6"/>
      <c r="EN46" s="16">
        <v>14</v>
      </c>
      <c r="EO46" s="6">
        <f t="shared" si="10"/>
        <v>56</v>
      </c>
      <c r="EP46" s="6">
        <v>0.11448999999999999</v>
      </c>
      <c r="ER46" s="17"/>
      <c r="ES46" s="19">
        <v>14</v>
      </c>
      <c r="ET46" s="6">
        <f t="shared" si="11"/>
        <v>56</v>
      </c>
      <c r="EU46" s="6">
        <v>0.12801000000000001</v>
      </c>
      <c r="EX46" s="19">
        <v>14</v>
      </c>
      <c r="EY46" s="6">
        <f t="shared" si="12"/>
        <v>56</v>
      </c>
      <c r="EZ46" s="6">
        <v>0.11693000000000001</v>
      </c>
      <c r="FC46" s="19">
        <v>14</v>
      </c>
      <c r="FD46" s="6">
        <f t="shared" si="13"/>
        <v>56</v>
      </c>
      <c r="FE46" s="6">
        <f>0.12729+0.0764</f>
        <v>0.20368999999999998</v>
      </c>
    </row>
    <row r="47" spans="1:162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N47" s="6"/>
      <c r="CO47" s="6"/>
      <c r="EN47" s="16">
        <v>16</v>
      </c>
      <c r="EO47" s="6">
        <f t="shared" si="10"/>
        <v>64</v>
      </c>
      <c r="EP47" s="6">
        <v>0.23960999999999999</v>
      </c>
      <c r="ER47" s="17"/>
      <c r="ES47" s="19">
        <v>16</v>
      </c>
      <c r="ET47" s="6">
        <f t="shared" si="11"/>
        <v>64</v>
      </c>
      <c r="EU47" s="6">
        <v>0.21992999999999999</v>
      </c>
      <c r="EX47" s="19">
        <v>16</v>
      </c>
      <c r="EY47" s="6">
        <f t="shared" si="12"/>
        <v>64</v>
      </c>
      <c r="EZ47" s="6">
        <v>0.20016999999999999</v>
      </c>
      <c r="FC47" s="19">
        <v>16</v>
      </c>
      <c r="FD47" s="6">
        <f t="shared" si="13"/>
        <v>64</v>
      </c>
      <c r="FE47" s="6">
        <f>0.12729+0.13581</f>
        <v>0.2631</v>
      </c>
    </row>
    <row r="48" spans="1:162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N48" s="6"/>
      <c r="CO48" s="6"/>
      <c r="EN48" s="16">
        <v>21</v>
      </c>
      <c r="EO48" s="6">
        <f t="shared" si="10"/>
        <v>84</v>
      </c>
      <c r="EP48" s="6">
        <v>0.11448999999999999</v>
      </c>
      <c r="ER48" s="17"/>
      <c r="ES48" s="19">
        <v>21</v>
      </c>
      <c r="ET48" s="6">
        <f t="shared" si="11"/>
        <v>84</v>
      </c>
      <c r="EU48" s="6">
        <v>0.12801000000000001</v>
      </c>
      <c r="EX48" s="19">
        <v>21</v>
      </c>
      <c r="EY48" s="6">
        <f t="shared" si="12"/>
        <v>84</v>
      </c>
      <c r="EZ48" s="6">
        <v>0.11693000000000001</v>
      </c>
      <c r="FC48" s="19">
        <v>21</v>
      </c>
      <c r="FD48" s="6">
        <f t="shared" si="13"/>
        <v>84</v>
      </c>
      <c r="FE48" s="6">
        <f>0.12729+0.0764</f>
        <v>0.20368999999999998</v>
      </c>
    </row>
    <row r="49" spans="1:162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N49" s="6"/>
      <c r="CO49" s="6"/>
      <c r="EN49" s="16" t="s">
        <v>145</v>
      </c>
      <c r="EO49" s="6" t="s">
        <v>146</v>
      </c>
      <c r="EP49">
        <f>30.68/10</f>
        <v>3.0680000000000001</v>
      </c>
      <c r="EQ49" s="6">
        <f>EP49/mo</f>
        <v>0.10059016393442623</v>
      </c>
      <c r="ER49" s="17"/>
      <c r="ES49" s="19" t="s">
        <v>145</v>
      </c>
      <c r="ET49" s="6" t="s">
        <v>155</v>
      </c>
      <c r="EU49">
        <f>31.32+28.74</f>
        <v>60.06</v>
      </c>
      <c r="EV49" s="6">
        <f>EU49/mo</f>
        <v>1.9691803278688524</v>
      </c>
      <c r="EX49" s="19" t="s">
        <v>145</v>
      </c>
      <c r="EY49" s="6" t="s">
        <v>157</v>
      </c>
      <c r="EZ49">
        <f>18.63+1.12+34.2</f>
        <v>53.95</v>
      </c>
      <c r="FA49" s="6">
        <f>EZ49/mo</f>
        <v>1.7688524590163934</v>
      </c>
      <c r="FC49" t="s">
        <v>152</v>
      </c>
      <c r="FD49" t="s">
        <v>153</v>
      </c>
      <c r="FE49" s="6">
        <v>4.57</v>
      </c>
      <c r="FF49">
        <f>FE49/mo</f>
        <v>0.14983606557377049</v>
      </c>
    </row>
    <row r="50" spans="1:16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N50" s="6"/>
      <c r="CO50" s="6"/>
      <c r="EN50" s="16"/>
      <c r="EO50" s="6"/>
      <c r="EQ50" s="6"/>
    </row>
    <row r="51" spans="1:162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N51" s="6"/>
      <c r="CO51" s="6"/>
      <c r="EN51" s="14"/>
      <c r="EO51" s="5"/>
      <c r="EP51" s="5"/>
    </row>
    <row r="52" spans="1:162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Q52" s="6"/>
      <c r="CR52" s="6"/>
      <c r="EN52" s="16"/>
      <c r="EO52" s="6"/>
      <c r="EP52" s="6"/>
    </row>
    <row r="53" spans="1:162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Q53" s="6"/>
      <c r="CR53" s="6"/>
      <c r="EN53" s="16"/>
      <c r="EO53" s="6"/>
      <c r="EP53" s="6"/>
    </row>
    <row r="54" spans="1:162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Q54" s="6"/>
      <c r="CR54" s="6"/>
      <c r="EN54" s="16"/>
      <c r="EO54" s="6"/>
      <c r="EP54" s="6"/>
    </row>
    <row r="55" spans="1:162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Q55" s="6"/>
      <c r="CR55" s="6"/>
      <c r="EN55" s="16"/>
      <c r="EO55" s="6"/>
      <c r="EP55" s="6"/>
    </row>
    <row r="56" spans="1:162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Q56" s="6"/>
      <c r="CR56" s="6"/>
      <c r="EN56" s="16"/>
      <c r="EO56" s="6"/>
      <c r="EQ56" s="6"/>
    </row>
    <row r="57" spans="1:162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Q57" s="6"/>
      <c r="CR57" s="6"/>
    </row>
    <row r="58" spans="1:162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Q58" s="6"/>
      <c r="CR58" s="6"/>
    </row>
    <row r="59" spans="1:162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Q59" s="6"/>
      <c r="CR59" s="6"/>
    </row>
    <row r="60" spans="1:162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Q60" s="6"/>
      <c r="CR60" s="6"/>
    </row>
    <row r="61" spans="1:162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Q61" s="6"/>
      <c r="CR61" s="6"/>
    </row>
    <row r="62" spans="1:162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Q62" s="6"/>
      <c r="CR62" s="6"/>
    </row>
    <row r="63" spans="1:162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Q63" s="6"/>
      <c r="CR63" s="6"/>
    </row>
    <row r="64" spans="1:162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Q64" s="6"/>
      <c r="CR64" s="6"/>
    </row>
    <row r="65" spans="1:9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Q65" s="6"/>
      <c r="CR65" s="6"/>
    </row>
    <row r="66" spans="1:9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Q66" s="6"/>
      <c r="CR66" s="6"/>
    </row>
    <row r="67" spans="1:9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Q67" s="6"/>
      <c r="CR67" s="6"/>
    </row>
    <row r="68" spans="1:9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Q68" s="6"/>
      <c r="CR68" s="6"/>
    </row>
    <row r="69" spans="1:9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Q69" s="6"/>
      <c r="CR69" s="6"/>
    </row>
    <row r="70" spans="1:9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Q70" s="6"/>
      <c r="CR70" s="6"/>
    </row>
    <row r="71" spans="1:9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Q71" s="6"/>
      <c r="CR71" s="6"/>
    </row>
    <row r="72" spans="1:9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Q72" s="6"/>
      <c r="CR72" s="6"/>
    </row>
    <row r="73" spans="1:9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Q73" s="6"/>
      <c r="CR73" s="6"/>
    </row>
    <row r="74" spans="1:9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Q74" s="6"/>
      <c r="CR74" s="6"/>
    </row>
    <row r="75" spans="1:9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Q75" s="6"/>
      <c r="CR75" s="6"/>
    </row>
    <row r="76" spans="1:9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Q76" s="6"/>
      <c r="CR76" s="6"/>
    </row>
    <row r="77" spans="1:9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Q77" s="6"/>
      <c r="CR77" s="6"/>
    </row>
    <row r="78" spans="1:9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Q78" s="6"/>
      <c r="CR78" s="6"/>
    </row>
    <row r="79" spans="1:9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Q79" s="6"/>
      <c r="CR79" s="6"/>
    </row>
    <row r="80" spans="1:9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Q80" s="6"/>
      <c r="CR80" s="6"/>
    </row>
    <row r="81" spans="1:97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R81" s="6"/>
      <c r="CS81" s="16"/>
    </row>
    <row r="82" spans="1:97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R82" s="6"/>
      <c r="CS82" s="16"/>
    </row>
    <row r="83" spans="1:97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R83" s="6"/>
      <c r="CS83" s="16"/>
    </row>
    <row r="84" spans="1:97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R84" s="6"/>
      <c r="CS84" s="16"/>
    </row>
    <row r="85" spans="1:97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R85" s="6"/>
      <c r="CS85" s="16"/>
    </row>
    <row r="86" spans="1:97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R86" s="6"/>
      <c r="CS86" s="16"/>
    </row>
    <row r="87" spans="1:97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R87" s="6"/>
      <c r="CS87" s="16"/>
    </row>
    <row r="88" spans="1:97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R88" s="6"/>
      <c r="CS88" s="16"/>
    </row>
    <row r="89" spans="1:97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R89" s="6"/>
      <c r="CS89" s="16"/>
    </row>
    <row r="90" spans="1:97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R90" s="6"/>
      <c r="CS90" s="16"/>
    </row>
    <row r="91" spans="1:97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R91" s="6"/>
      <c r="CS91" s="16"/>
    </row>
    <row r="92" spans="1:97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R92" s="6"/>
      <c r="CS92" s="16"/>
    </row>
    <row r="93" spans="1:97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R93" s="6"/>
      <c r="CS93" s="16"/>
    </row>
    <row r="94" spans="1:97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R94" s="6"/>
      <c r="CS94" s="16"/>
    </row>
    <row r="95" spans="1:97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R95" s="6"/>
      <c r="CS95" s="16"/>
    </row>
    <row r="96" spans="1:97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R96" s="6"/>
      <c r="CS96" s="16"/>
    </row>
    <row r="97" spans="1:97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R97" s="6"/>
      <c r="CS97" s="16"/>
    </row>
    <row r="98" spans="1:97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R98" s="6"/>
      <c r="CS98" s="16"/>
    </row>
    <row r="99" spans="1:97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R99" s="6"/>
      <c r="CS99" s="16"/>
    </row>
    <row r="100" spans="1:97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R100" s="6"/>
      <c r="CS100" s="16"/>
    </row>
    <row r="101" spans="1:97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R101" s="6"/>
      <c r="CS101" s="16"/>
    </row>
    <row r="102" spans="1:97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R102" s="6"/>
      <c r="CS102" s="16"/>
    </row>
    <row r="103" spans="1:97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R103" s="6"/>
      <c r="CS103" s="16"/>
    </row>
    <row r="104" spans="1:97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R104" s="6"/>
      <c r="CS104" s="16"/>
    </row>
    <row r="105" spans="1:97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R105" s="6"/>
      <c r="CS105" s="16"/>
    </row>
    <row r="106" spans="1:97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R106" s="6"/>
      <c r="CS106" s="16"/>
    </row>
    <row r="107" spans="1:97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R107" s="6"/>
      <c r="CS107" s="16"/>
    </row>
    <row r="108" spans="1:97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R108" s="6"/>
      <c r="CS108" s="16"/>
    </row>
    <row r="109" spans="1:97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R109" s="6"/>
      <c r="CS109" s="16"/>
    </row>
    <row r="110" spans="1:97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R110" s="6"/>
      <c r="CS110" s="16"/>
    </row>
    <row r="111" spans="1:97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R111" s="6"/>
      <c r="CS111" s="16"/>
    </row>
    <row r="112" spans="1:97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R112" s="6"/>
      <c r="CS112" s="16"/>
    </row>
    <row r="113" spans="1:97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R113" s="6"/>
      <c r="CS113" s="16"/>
    </row>
    <row r="114" spans="1:97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R114" s="6"/>
      <c r="CS114" s="16"/>
    </row>
    <row r="115" spans="1:97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R115" s="6"/>
      <c r="CS115" s="16"/>
    </row>
    <row r="116" spans="1:97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R116" s="6"/>
      <c r="CS116" s="16"/>
    </row>
    <row r="117" spans="1:97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R117" s="6"/>
      <c r="CS117" s="16"/>
    </row>
    <row r="118" spans="1:97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R118" s="6"/>
      <c r="CS118" s="16"/>
    </row>
    <row r="119" spans="1:97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R119" s="6"/>
      <c r="CS119" s="16"/>
    </row>
    <row r="120" spans="1:97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R120" s="6"/>
      <c r="CS120" s="16"/>
    </row>
    <row r="121" spans="1:97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R121" s="6"/>
      <c r="CS121" s="16"/>
    </row>
    <row r="122" spans="1:97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R122" s="6"/>
      <c r="CS122" s="16"/>
    </row>
    <row r="123" spans="1:97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R123" s="6"/>
      <c r="CS123" s="16"/>
    </row>
    <row r="124" spans="1:97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R124" s="6"/>
      <c r="CS124" s="16"/>
    </row>
    <row r="125" spans="1:97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R125" s="6"/>
      <c r="CS125" s="16"/>
    </row>
    <row r="126" spans="1:97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R126" s="6"/>
      <c r="CS126" s="16"/>
    </row>
    <row r="127" spans="1:97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R127" s="6"/>
      <c r="CS127" s="16"/>
    </row>
    <row r="128" spans="1:97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R128" s="6"/>
      <c r="CS128" s="16"/>
    </row>
    <row r="129" spans="1:97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R129" s="6"/>
      <c r="CS129" s="16"/>
    </row>
    <row r="130" spans="1:97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R130" s="6"/>
      <c r="CS130" s="16"/>
    </row>
    <row r="131" spans="1:97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R131" s="6"/>
      <c r="CS131" s="16"/>
    </row>
    <row r="132" spans="1:97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R132" s="6"/>
      <c r="CS132" s="16"/>
    </row>
    <row r="133" spans="1:97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R133" s="6"/>
      <c r="CS133" s="16"/>
    </row>
    <row r="134" spans="1:97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R134" s="6"/>
      <c r="CS134" s="16"/>
    </row>
    <row r="135" spans="1:97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R135" s="6"/>
      <c r="CS135" s="16"/>
    </row>
    <row r="136" spans="1:97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R136" s="6"/>
      <c r="CS136" s="16"/>
    </row>
    <row r="137" spans="1:97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R137" s="6"/>
      <c r="CS137" s="16"/>
    </row>
    <row r="138" spans="1:97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R138" s="6"/>
      <c r="CS138" s="16"/>
    </row>
    <row r="139" spans="1:97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R139" s="6"/>
      <c r="CS139" s="16"/>
    </row>
    <row r="140" spans="1:97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R140" s="6"/>
      <c r="CS140" s="16"/>
    </row>
    <row r="141" spans="1:97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R141" s="6"/>
      <c r="CS141" s="16"/>
    </row>
    <row r="142" spans="1:97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R142" s="6"/>
      <c r="CS142" s="16"/>
    </row>
    <row r="143" spans="1:97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R143" s="6"/>
      <c r="CS143" s="16"/>
    </row>
    <row r="144" spans="1:97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R144" s="6"/>
      <c r="CS144" s="16"/>
    </row>
    <row r="145" spans="1:97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R145" s="6"/>
      <c r="CS145" s="16"/>
    </row>
    <row r="146" spans="1:97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R146" s="6"/>
      <c r="CS146" s="16"/>
    </row>
    <row r="147" spans="1:97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R147" s="6"/>
      <c r="CS147" s="16"/>
    </row>
    <row r="148" spans="1:97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R148" s="6"/>
      <c r="CS148" s="16"/>
    </row>
    <row r="149" spans="1:97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R149" s="6"/>
      <c r="CS149" s="16"/>
    </row>
    <row r="150" spans="1:97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R150" s="6"/>
      <c r="CS150" s="16"/>
    </row>
    <row r="151" spans="1:97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R151" s="6"/>
      <c r="CS151" s="16"/>
    </row>
    <row r="152" spans="1:97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R152" s="6"/>
      <c r="CS152" s="16"/>
    </row>
    <row r="153" spans="1:97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R153" s="6"/>
      <c r="CS153" s="16"/>
    </row>
    <row r="154" spans="1:97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R154" s="6"/>
      <c r="CS154" s="16"/>
    </row>
    <row r="155" spans="1:97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R155" s="6"/>
      <c r="CS155" s="16"/>
    </row>
    <row r="156" spans="1:97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R156" s="6"/>
      <c r="CS156" s="16"/>
    </row>
    <row r="157" spans="1:97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R157" s="6"/>
      <c r="CS157" s="16"/>
    </row>
    <row r="158" spans="1:97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R158" s="6"/>
      <c r="CS158" s="16"/>
    </row>
    <row r="159" spans="1:97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R159" s="6"/>
      <c r="CS159" s="16"/>
    </row>
    <row r="160" spans="1:97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R160" s="6"/>
      <c r="CS160" s="16"/>
    </row>
    <row r="161" spans="1:97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R161" s="6"/>
      <c r="CS161" s="16"/>
    </row>
    <row r="162" spans="1:97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R162" s="6"/>
      <c r="CS162" s="16"/>
    </row>
    <row r="163" spans="1:97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R163" s="6"/>
      <c r="CS163" s="16"/>
    </row>
    <row r="164" spans="1:97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R164" s="6"/>
      <c r="CS164" s="16"/>
    </row>
    <row r="165" spans="1:97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R165" s="6"/>
      <c r="CS165" s="16"/>
    </row>
    <row r="166" spans="1:97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R166" s="6"/>
      <c r="CS166" s="16"/>
    </row>
    <row r="167" spans="1:97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R167" s="6"/>
      <c r="CS167" s="16"/>
    </row>
    <row r="168" spans="1:97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R168" s="6"/>
      <c r="CS168" s="16"/>
    </row>
    <row r="169" spans="1:97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R169" s="6"/>
      <c r="CS169" s="16"/>
    </row>
    <row r="170" spans="1:97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R170" s="6"/>
      <c r="CS170" s="16"/>
    </row>
    <row r="171" spans="1:97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R171" s="6"/>
      <c r="CS171" s="16"/>
    </row>
    <row r="172" spans="1:97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R172" s="6"/>
      <c r="CS172" s="16"/>
    </row>
    <row r="173" spans="1:97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R173" s="6"/>
      <c r="CS173" s="16"/>
    </row>
    <row r="174" spans="1:97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R174" s="6"/>
      <c r="CS174" s="16"/>
    </row>
    <row r="175" spans="1:97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R175" s="6"/>
      <c r="CS175" s="16"/>
    </row>
    <row r="176" spans="1:97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R176" s="6"/>
      <c r="CS176" s="16"/>
    </row>
    <row r="177" spans="1:97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R177" s="6"/>
      <c r="CS177" s="16"/>
    </row>
    <row r="178" spans="1:97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R178" s="6"/>
      <c r="CS178" s="16"/>
    </row>
    <row r="179" spans="1:97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R179" s="6"/>
      <c r="CS179" s="16"/>
    </row>
    <row r="180" spans="1:97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R180" s="6"/>
      <c r="CS180" s="16"/>
    </row>
    <row r="181" spans="1:97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R181" s="6"/>
      <c r="CS181" s="16"/>
    </row>
    <row r="182" spans="1:97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R182" s="6"/>
      <c r="CS182" s="16"/>
    </row>
    <row r="183" spans="1:97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R183" s="6"/>
      <c r="CS183" s="16"/>
    </row>
    <row r="184" spans="1:97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R184" s="6"/>
      <c r="CS184" s="16"/>
    </row>
    <row r="185" spans="1:97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R185" s="6"/>
      <c r="CS185" s="16"/>
    </row>
    <row r="186" spans="1:97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R186" s="6"/>
      <c r="CS186" s="16"/>
    </row>
    <row r="187" spans="1:97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R187" s="6"/>
      <c r="CS187" s="16"/>
    </row>
    <row r="188" spans="1:97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R188" s="6"/>
      <c r="CS188" s="16"/>
    </row>
    <row r="189" spans="1:97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R189" s="6"/>
      <c r="CS189" s="16"/>
    </row>
    <row r="190" spans="1:97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R190" s="6"/>
      <c r="CS190" s="16"/>
    </row>
    <row r="191" spans="1:97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R191" s="6"/>
      <c r="CS191" s="16"/>
    </row>
    <row r="192" spans="1:97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R192" s="6"/>
      <c r="CS192" s="16"/>
    </row>
    <row r="193" spans="1:97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R193" s="6"/>
      <c r="CS193" s="16"/>
    </row>
    <row r="194" spans="1:97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R194" s="6"/>
      <c r="CS194" s="16"/>
    </row>
    <row r="195" spans="1:97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R195" s="6"/>
      <c r="CS195" s="16"/>
    </row>
    <row r="196" spans="1:97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R196" s="6"/>
      <c r="CS196" s="16"/>
    </row>
    <row r="197" spans="1:97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R197" s="6"/>
      <c r="CS197" s="16"/>
    </row>
    <row r="198" spans="1:97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R198" s="6"/>
      <c r="CS198" s="16"/>
    </row>
    <row r="199" spans="1:97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R199" s="6"/>
      <c r="CS199" s="16"/>
    </row>
    <row r="200" spans="1:97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R200" s="6"/>
      <c r="CS200" s="16"/>
    </row>
    <row r="201" spans="1:97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R201" s="6"/>
      <c r="CS201" s="16"/>
    </row>
    <row r="202" spans="1:97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R202" s="6"/>
      <c r="CS202" s="16"/>
    </row>
    <row r="203" spans="1:97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R203" s="6"/>
      <c r="CS203" s="16"/>
    </row>
    <row r="204" spans="1:97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R204" s="6"/>
      <c r="CS204" s="16"/>
    </row>
    <row r="205" spans="1:97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R205" s="6"/>
      <c r="CS205" s="16"/>
    </row>
    <row r="206" spans="1:97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R206" s="6"/>
      <c r="CS206" s="16"/>
    </row>
    <row r="207" spans="1:97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R207" s="6"/>
      <c r="CS207" s="16"/>
    </row>
    <row r="208" spans="1:97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R208" s="6"/>
      <c r="CS208" s="16"/>
    </row>
    <row r="209" spans="1:97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R209" s="6"/>
      <c r="CS209" s="16"/>
    </row>
    <row r="210" spans="1:97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R210" s="6"/>
      <c r="CS210" s="16"/>
    </row>
    <row r="211" spans="1:97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R211" s="6"/>
      <c r="CS211" s="16"/>
    </row>
    <row r="212" spans="1:97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R212" s="6"/>
      <c r="CS212" s="16"/>
    </row>
    <row r="213" spans="1:97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R213" s="6"/>
      <c r="CS213" s="16"/>
    </row>
    <row r="214" spans="1:97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R214" s="6"/>
      <c r="CS214" s="16"/>
    </row>
    <row r="215" spans="1:97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R215" s="6"/>
      <c r="CS215" s="16"/>
    </row>
    <row r="216" spans="1:97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R216" s="6"/>
      <c r="CS216" s="16"/>
    </row>
    <row r="217" spans="1:97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R217" s="6"/>
      <c r="CS217" s="16"/>
    </row>
    <row r="218" spans="1:97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R218" s="6"/>
      <c r="CS218" s="16"/>
    </row>
    <row r="219" spans="1:97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R219" s="6"/>
      <c r="CS219" s="16"/>
    </row>
    <row r="220" spans="1:97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R220" s="6"/>
      <c r="CS220" s="16"/>
    </row>
    <row r="221" spans="1:97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R221" s="6"/>
      <c r="CS221" s="16"/>
    </row>
    <row r="222" spans="1:97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R222" s="6"/>
      <c r="CS222" s="16"/>
    </row>
    <row r="223" spans="1:97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R223" s="6"/>
      <c r="CS223" s="16"/>
    </row>
    <row r="224" spans="1:97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R224" s="6"/>
      <c r="CS224" s="16"/>
    </row>
    <row r="225" spans="1:97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R225" s="6"/>
      <c r="CS225" s="16"/>
    </row>
    <row r="226" spans="1:97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R226" s="6"/>
      <c r="CS226" s="16"/>
    </row>
    <row r="227" spans="1:97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R227" s="6"/>
      <c r="CS227" s="16"/>
    </row>
    <row r="228" spans="1:97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R228" s="6"/>
      <c r="CS228" s="16"/>
    </row>
    <row r="229" spans="1:97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R229" s="6"/>
      <c r="CS229" s="16"/>
    </row>
    <row r="230" spans="1:97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R230" s="6"/>
      <c r="CS230" s="16"/>
    </row>
    <row r="231" spans="1:97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R231" s="6"/>
      <c r="CS231" s="16"/>
    </row>
    <row r="232" spans="1:97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R232" s="6"/>
      <c r="CS232" s="16"/>
    </row>
    <row r="233" spans="1:97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R233" s="6"/>
      <c r="CS233" s="16"/>
    </row>
    <row r="234" spans="1:97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R234" s="6"/>
      <c r="CS234" s="16"/>
    </row>
    <row r="235" spans="1:97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R235" s="6"/>
      <c r="CS235" s="16"/>
    </row>
    <row r="236" spans="1:97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R236" s="6"/>
      <c r="CS236" s="16"/>
    </row>
    <row r="237" spans="1:97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R237" s="6"/>
      <c r="CS237" s="16"/>
    </row>
    <row r="238" spans="1:97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R238" s="6"/>
      <c r="CS238" s="16"/>
    </row>
    <row r="239" spans="1:97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R239" s="6"/>
      <c r="CS239" s="16"/>
    </row>
    <row r="240" spans="1:97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R240" s="6"/>
      <c r="CS240" s="16"/>
    </row>
    <row r="241" spans="1:97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R241" s="6"/>
      <c r="CS241" s="16"/>
    </row>
    <row r="242" spans="1:97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R242" s="6"/>
      <c r="CS242" s="16"/>
    </row>
    <row r="243" spans="1:97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R243" s="6"/>
      <c r="CS243" s="16"/>
    </row>
    <row r="244" spans="1:97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R244" s="6"/>
      <c r="CS244" s="16"/>
    </row>
    <row r="245" spans="1:97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R245" s="6"/>
      <c r="CS245" s="16"/>
    </row>
    <row r="246" spans="1:97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R246" s="6"/>
      <c r="CS246" s="16"/>
    </row>
    <row r="247" spans="1:97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R247" s="6"/>
      <c r="CS247" s="16"/>
    </row>
    <row r="248" spans="1:97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R248" s="6"/>
      <c r="CS248" s="16"/>
    </row>
    <row r="249" spans="1:97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R249" s="6"/>
      <c r="CS249" s="16"/>
    </row>
    <row r="250" spans="1:97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R250" s="6"/>
      <c r="CS250" s="16"/>
    </row>
    <row r="251" spans="1:97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R251" s="6"/>
      <c r="CS251" s="16"/>
    </row>
    <row r="252" spans="1:97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R252" s="6"/>
      <c r="CS252" s="16"/>
    </row>
    <row r="253" spans="1:97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R253" s="6"/>
      <c r="CS253" s="16"/>
    </row>
    <row r="254" spans="1:97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R254" s="6"/>
      <c r="CS254" s="16"/>
    </row>
    <row r="255" spans="1:97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R255" s="6"/>
      <c r="CS255" s="16"/>
    </row>
    <row r="256" spans="1:97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R256" s="6"/>
      <c r="CS256" s="16"/>
    </row>
    <row r="257" spans="1:97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R257" s="6"/>
      <c r="CS257" s="16"/>
    </row>
    <row r="258" spans="1:97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R258" s="6"/>
      <c r="CS258" s="16"/>
    </row>
    <row r="259" spans="1:97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R259" s="6"/>
      <c r="CS259" s="16"/>
    </row>
    <row r="260" spans="1:97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R260" s="6"/>
      <c r="CS260" s="16"/>
    </row>
    <row r="261" spans="1:97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R261" s="6"/>
      <c r="CS261" s="16"/>
    </row>
    <row r="262" spans="1:97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R262" s="6"/>
      <c r="CS262" s="16"/>
    </row>
    <row r="263" spans="1:97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R263" s="6"/>
      <c r="CS263" s="16"/>
    </row>
    <row r="264" spans="1:97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R264" s="6"/>
      <c r="CS264" s="16"/>
    </row>
    <row r="265" spans="1:97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R265" s="6"/>
      <c r="CS265" s="16"/>
    </row>
    <row r="266" spans="1:97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R266" s="6"/>
      <c r="CS266" s="16"/>
    </row>
    <row r="267" spans="1:97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R267" s="6"/>
      <c r="CS267" s="16"/>
    </row>
    <row r="268" spans="1:97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R268" s="6"/>
      <c r="CS268" s="16"/>
    </row>
    <row r="269" spans="1:97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R269" s="6"/>
      <c r="CS269" s="16"/>
    </row>
    <row r="270" spans="1:97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R270" s="6"/>
      <c r="CS270" s="16"/>
    </row>
    <row r="271" spans="1:97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R271" s="6"/>
      <c r="CS271" s="16"/>
    </row>
    <row r="272" spans="1:97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R272" s="6"/>
      <c r="CS272" s="16"/>
    </row>
    <row r="273" spans="1:97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R273" s="6"/>
      <c r="CS273" s="16"/>
    </row>
    <row r="274" spans="1:97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R274" s="6"/>
      <c r="CS274" s="16"/>
    </row>
    <row r="275" spans="1:97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R275" s="6"/>
      <c r="CS275" s="16"/>
    </row>
    <row r="276" spans="1:97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R276" s="6"/>
      <c r="CS276" s="16"/>
    </row>
    <row r="277" spans="1:97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R277" s="6"/>
      <c r="CS277" s="16"/>
    </row>
    <row r="278" spans="1:97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R278" s="6"/>
      <c r="CS278" s="16"/>
    </row>
    <row r="279" spans="1:97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R279" s="6"/>
      <c r="CS279" s="16"/>
    </row>
    <row r="280" spans="1:97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R280" s="6"/>
      <c r="CS280" s="16"/>
    </row>
    <row r="281" spans="1:97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R281" s="6"/>
      <c r="CS281" s="16"/>
    </row>
    <row r="282" spans="1:97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R282" s="6"/>
      <c r="CS282" s="16"/>
    </row>
    <row r="283" spans="1:97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R283" s="6"/>
      <c r="CS283" s="16"/>
    </row>
    <row r="284" spans="1:97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R284" s="6"/>
      <c r="CS284" s="16"/>
    </row>
    <row r="285" spans="1:97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R285" s="6"/>
      <c r="CS285" s="16"/>
    </row>
    <row r="286" spans="1:97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R286" s="6"/>
      <c r="CS286" s="16"/>
    </row>
    <row r="287" spans="1:97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R287" s="6"/>
      <c r="CS287" s="16"/>
    </row>
    <row r="288" spans="1:97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R288" s="6"/>
      <c r="CS288" s="16"/>
    </row>
    <row r="289" spans="1:97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R289" s="6"/>
      <c r="CS289" s="16"/>
    </row>
    <row r="290" spans="1:97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R290" s="6"/>
      <c r="CS290" s="16"/>
    </row>
    <row r="291" spans="1:97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R291" s="6"/>
      <c r="CS291" s="16"/>
    </row>
    <row r="292" spans="1:97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R292" s="6"/>
      <c r="CS292" s="16"/>
    </row>
    <row r="293" spans="1:97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R293" s="6"/>
      <c r="CS293" s="16"/>
    </row>
    <row r="294" spans="1:97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R294" s="6"/>
      <c r="CS294" s="16"/>
    </row>
    <row r="295" spans="1:97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R295" s="6"/>
      <c r="CS295" s="16"/>
    </row>
    <row r="296" spans="1:97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R296" s="6"/>
      <c r="CS296" s="16"/>
    </row>
    <row r="297" spans="1:97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R297" s="6"/>
      <c r="CS297" s="16"/>
    </row>
    <row r="298" spans="1:97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R298" s="6"/>
      <c r="CS298" s="16"/>
    </row>
    <row r="299" spans="1:97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R299" s="6"/>
      <c r="CS299" s="16"/>
    </row>
    <row r="300" spans="1:97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R300" s="6"/>
      <c r="CS300" s="16"/>
    </row>
    <row r="301" spans="1:97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R301" s="6"/>
      <c r="CS301" s="16"/>
    </row>
    <row r="302" spans="1:97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R302" s="6"/>
      <c r="CS302" s="16"/>
    </row>
    <row r="303" spans="1:97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R303" s="6"/>
      <c r="CS303" s="16"/>
    </row>
    <row r="304" spans="1:97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R304" s="6"/>
      <c r="CS304" s="16"/>
    </row>
    <row r="305" spans="1:97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R305" s="6"/>
      <c r="CS305" s="16"/>
    </row>
    <row r="306" spans="1:97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R306" s="6"/>
      <c r="CS306" s="16"/>
    </row>
    <row r="307" spans="1:97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R307" s="6"/>
      <c r="CS307" s="16"/>
    </row>
    <row r="308" spans="1:97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R308" s="6"/>
      <c r="CS308" s="16"/>
    </row>
    <row r="309" spans="1:97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R309" s="6"/>
      <c r="CS309" s="16"/>
    </row>
    <row r="310" spans="1:97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R310" s="6"/>
      <c r="CS310" s="16"/>
    </row>
    <row r="311" spans="1:97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R311" s="6"/>
      <c r="CS311" s="16"/>
    </row>
    <row r="312" spans="1:97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R312" s="6"/>
      <c r="CS312" s="16"/>
    </row>
    <row r="313" spans="1:97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R313" s="6"/>
      <c r="CS313" s="16"/>
    </row>
    <row r="314" spans="1:97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R314" s="6"/>
      <c r="CS314" s="16"/>
    </row>
    <row r="315" spans="1:97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R315" s="6"/>
      <c r="CS315" s="16"/>
    </row>
    <row r="316" spans="1:97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R316" s="6"/>
      <c r="CS316" s="16"/>
    </row>
    <row r="317" spans="1:97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R317" s="6"/>
      <c r="CS317" s="16"/>
    </row>
    <row r="318" spans="1:97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R318" s="6"/>
      <c r="CS318" s="16"/>
    </row>
    <row r="319" spans="1:97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R319" s="6"/>
      <c r="CS319" s="16"/>
    </row>
    <row r="320" spans="1:97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R320" s="6"/>
      <c r="CS320" s="16"/>
    </row>
    <row r="321" spans="1:97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R321" s="6"/>
      <c r="CS321" s="16"/>
    </row>
    <row r="322" spans="1:97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R322" s="6"/>
      <c r="CS322" s="16"/>
    </row>
    <row r="323" spans="1:97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R323" s="6"/>
      <c r="CS323" s="16"/>
    </row>
    <row r="324" spans="1:97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R324" s="6"/>
      <c r="CS324" s="16"/>
    </row>
    <row r="325" spans="1:97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R325" s="6"/>
      <c r="CS325" s="16"/>
    </row>
    <row r="326" spans="1:97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R326" s="6"/>
      <c r="CS326" s="16"/>
    </row>
    <row r="327" spans="1:97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R327" s="6"/>
      <c r="CS327" s="16"/>
    </row>
    <row r="328" spans="1:97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R328" s="6"/>
      <c r="CS328" s="16"/>
    </row>
    <row r="329" spans="1:97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R329" s="6"/>
      <c r="CS329" s="16"/>
    </row>
    <row r="330" spans="1:97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R330" s="6"/>
      <c r="CS330" s="16"/>
    </row>
    <row r="331" spans="1:97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R331" s="6"/>
      <c r="CS331" s="16"/>
    </row>
    <row r="332" spans="1:97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R332" s="6"/>
      <c r="CS332" s="16"/>
    </row>
    <row r="333" spans="1:97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R333" s="6"/>
      <c r="CS333" s="16"/>
    </row>
    <row r="334" spans="1:97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R334" s="6"/>
      <c r="CS334" s="16"/>
    </row>
    <row r="335" spans="1:97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R335" s="6"/>
      <c r="CS335" s="16"/>
    </row>
    <row r="336" spans="1:97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R336" s="6"/>
      <c r="CS336" s="16"/>
    </row>
    <row r="337" spans="1:97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R337" s="6"/>
      <c r="CS337" s="16"/>
    </row>
    <row r="338" spans="1:97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R338" s="6"/>
      <c r="CS338" s="16"/>
    </row>
    <row r="339" spans="1:97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R339" s="6"/>
      <c r="CS339" s="16"/>
    </row>
    <row r="340" spans="1:97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R340" s="6"/>
      <c r="CS340" s="16"/>
    </row>
    <row r="341" spans="1:97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R341" s="6"/>
      <c r="CS341" s="16"/>
    </row>
    <row r="342" spans="1:97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R342" s="6"/>
      <c r="CS342" s="16"/>
    </row>
    <row r="343" spans="1:97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R343" s="6"/>
      <c r="CS343" s="16"/>
    </row>
    <row r="344" spans="1:97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R344" s="6"/>
      <c r="CS344" s="16"/>
    </row>
    <row r="345" spans="1:97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R345" s="6"/>
      <c r="CS345" s="16"/>
    </row>
    <row r="346" spans="1:97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R346" s="6"/>
      <c r="CS346" s="16"/>
    </row>
    <row r="347" spans="1:97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R347" s="6"/>
      <c r="CS347" s="16"/>
    </row>
    <row r="348" spans="1:97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R348" s="6"/>
      <c r="CS348" s="16"/>
    </row>
    <row r="349" spans="1:97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R349" s="6"/>
      <c r="CS349" s="16"/>
    </row>
    <row r="350" spans="1:97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R350" s="6"/>
      <c r="CS350" s="16"/>
    </row>
    <row r="351" spans="1:97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R351" s="6"/>
      <c r="CS351" s="16"/>
    </row>
    <row r="352" spans="1:97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R352" s="6"/>
      <c r="CS352" s="16"/>
    </row>
    <row r="353" spans="1:97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R353" s="6"/>
      <c r="CS353" s="16"/>
    </row>
    <row r="354" spans="1:97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R354" s="6"/>
      <c r="CS354" s="16"/>
    </row>
    <row r="355" spans="1:97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R355" s="6"/>
      <c r="CS355" s="16"/>
    </row>
    <row r="356" spans="1:97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R356" s="6"/>
      <c r="CS356" s="16"/>
    </row>
    <row r="357" spans="1:97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R357" s="6"/>
      <c r="CS357" s="16"/>
    </row>
    <row r="358" spans="1:97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R358" s="6"/>
      <c r="CS358" s="16"/>
    </row>
    <row r="359" spans="1:97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R359" s="6"/>
      <c r="CS359" s="16"/>
    </row>
    <row r="360" spans="1:97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R360" s="6"/>
      <c r="CS360" s="16"/>
    </row>
    <row r="361" spans="1:97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R361" s="6"/>
      <c r="CS361" s="16"/>
    </row>
    <row r="362" spans="1:97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R362" s="6"/>
      <c r="CS362" s="16"/>
    </row>
    <row r="363" spans="1:97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R363" s="6"/>
      <c r="CS363" s="16"/>
    </row>
    <row r="364" spans="1:97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R364" s="6"/>
      <c r="CS364" s="16"/>
    </row>
    <row r="365" spans="1:97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R365" s="6"/>
      <c r="CS365" s="16"/>
    </row>
    <row r="366" spans="1:97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R366" s="6"/>
      <c r="CS366" s="16"/>
    </row>
    <row r="367" spans="1:97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R367" s="6"/>
      <c r="CS367" s="16"/>
    </row>
    <row r="368" spans="1:97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R368" s="6"/>
      <c r="CS368" s="16"/>
    </row>
    <row r="369" spans="1:97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R369" s="6"/>
      <c r="CS369" s="16"/>
    </row>
    <row r="370" spans="1:97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R370" s="6"/>
      <c r="CS370" s="16"/>
    </row>
    <row r="371" spans="1:97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R371" s="6"/>
      <c r="CS371" s="16"/>
    </row>
    <row r="372" spans="1:97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R372" s="6"/>
      <c r="CS372" s="16"/>
    </row>
    <row r="373" spans="1:97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R373" s="6"/>
      <c r="CS373" s="16"/>
    </row>
    <row r="374" spans="1:97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R374" s="6"/>
      <c r="CS374" s="16"/>
    </row>
    <row r="375" spans="1:97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R375" s="6"/>
      <c r="CS375" s="16"/>
    </row>
    <row r="376" spans="1:97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R376" s="6"/>
      <c r="CS376" s="16"/>
    </row>
    <row r="377" spans="1:97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R377" s="6"/>
      <c r="CS377" s="16"/>
    </row>
    <row r="378" spans="1:97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R378" s="6"/>
      <c r="CS378" s="16"/>
    </row>
    <row r="379" spans="1:97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R379" s="6"/>
      <c r="CS379" s="16"/>
    </row>
    <row r="380" spans="1:97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R380" s="6"/>
      <c r="CS380" s="16"/>
    </row>
    <row r="381" spans="1:97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R381" s="6"/>
      <c r="CS381" s="16"/>
    </row>
    <row r="382" spans="1:97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R382" s="6"/>
      <c r="CS382" s="16"/>
    </row>
    <row r="383" spans="1:97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R383" s="6"/>
      <c r="CS383" s="16"/>
    </row>
    <row r="384" spans="1:97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R384" s="6"/>
      <c r="CS384" s="16"/>
    </row>
    <row r="385" spans="1:97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R385" s="6"/>
      <c r="CS385" s="16"/>
    </row>
    <row r="386" spans="1:97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R386" s="6"/>
      <c r="CS386" s="16"/>
    </row>
    <row r="387" spans="1:97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R387" s="6"/>
      <c r="CS387" s="16"/>
    </row>
    <row r="388" spans="1:97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R388" s="6"/>
      <c r="CS388" s="16"/>
    </row>
    <row r="389" spans="1:97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R389" s="6"/>
      <c r="CS389" s="16"/>
    </row>
    <row r="390" spans="1:97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R390" s="6"/>
      <c r="CS390" s="16"/>
    </row>
    <row r="391" spans="1:97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R391" s="6"/>
      <c r="CS391" s="16"/>
    </row>
    <row r="392" spans="1:97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R392" s="6"/>
      <c r="CS392" s="16"/>
    </row>
    <row r="393" spans="1:97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R393" s="6"/>
      <c r="CS393" s="16"/>
    </row>
    <row r="394" spans="1:97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R394" s="6"/>
      <c r="CS394" s="16"/>
    </row>
    <row r="395" spans="1:97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R395" s="6"/>
      <c r="CS395" s="16"/>
    </row>
    <row r="396" spans="1:97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R396" s="6"/>
      <c r="CS396" s="16"/>
    </row>
    <row r="397" spans="1:97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R397" s="6"/>
      <c r="CS397" s="16"/>
    </row>
    <row r="398" spans="1:97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R398" s="6"/>
      <c r="CS398" s="16"/>
    </row>
    <row r="399" spans="1:97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R399" s="6"/>
      <c r="CS399" s="16"/>
    </row>
    <row r="400" spans="1:97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R400" s="6"/>
      <c r="CS400" s="16"/>
    </row>
    <row r="401" spans="1:97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R401" s="6"/>
      <c r="CS401" s="16"/>
    </row>
    <row r="402" spans="1:97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R402" s="6"/>
      <c r="CS402" s="16"/>
    </row>
    <row r="403" spans="1:97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R403" s="6"/>
      <c r="CS403" s="16"/>
    </row>
    <row r="404" spans="1:97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R404" s="6"/>
      <c r="CS404" s="16"/>
    </row>
    <row r="405" spans="1:97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R405" s="6"/>
      <c r="CS405" s="16"/>
    </row>
    <row r="406" spans="1:97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R406" s="6"/>
      <c r="CS406" s="16"/>
    </row>
    <row r="407" spans="1:97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R407" s="6"/>
      <c r="CS407" s="16"/>
    </row>
    <row r="408" spans="1:97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R408" s="6"/>
      <c r="CS408" s="16"/>
    </row>
    <row r="409" spans="1:97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R409" s="6"/>
      <c r="CS409" s="16"/>
    </row>
    <row r="410" spans="1:97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R410" s="6"/>
      <c r="CS410" s="16"/>
    </row>
    <row r="411" spans="1:97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R411" s="6"/>
      <c r="CS411" s="16"/>
    </row>
    <row r="412" spans="1:97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R412" s="6"/>
      <c r="CS412" s="16"/>
    </row>
    <row r="413" spans="1:97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R413" s="6"/>
      <c r="CS413" s="16"/>
    </row>
    <row r="414" spans="1:97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R414" s="6"/>
      <c r="CS414" s="16"/>
    </row>
    <row r="415" spans="1:97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R415" s="6"/>
      <c r="CS415" s="16"/>
    </row>
    <row r="416" spans="1:97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R416" s="6"/>
      <c r="CS416" s="16"/>
    </row>
    <row r="417" spans="1:97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R417" s="6"/>
      <c r="CS417" s="16"/>
    </row>
    <row r="418" spans="1:97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R418" s="6"/>
      <c r="CS418" s="16"/>
    </row>
    <row r="419" spans="1:97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R419" s="6"/>
      <c r="CS419" s="16"/>
    </row>
    <row r="420" spans="1:97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R420" s="6"/>
      <c r="CS420" s="16"/>
    </row>
    <row r="421" spans="1:97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R421" s="6"/>
      <c r="CS421" s="16"/>
    </row>
    <row r="422" spans="1:97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R422" s="6"/>
      <c r="CS422" s="16"/>
    </row>
    <row r="423" spans="1:97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R423" s="6"/>
      <c r="CS423" s="16"/>
    </row>
    <row r="424" spans="1:97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R424" s="6"/>
      <c r="CS424" s="16"/>
    </row>
    <row r="425" spans="1:97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R425" s="6"/>
      <c r="CS425" s="16"/>
    </row>
    <row r="426" spans="1:97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R426" s="6"/>
      <c r="CS426" s="16"/>
    </row>
    <row r="427" spans="1:97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R427" s="6"/>
      <c r="CS427" s="16"/>
    </row>
    <row r="428" spans="1:97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R428" s="6"/>
      <c r="CS428" s="16"/>
    </row>
    <row r="429" spans="1:97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R429" s="6"/>
      <c r="CS429" s="16"/>
    </row>
    <row r="430" spans="1:97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R430" s="6"/>
      <c r="CS430" s="16"/>
    </row>
    <row r="431" spans="1:97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R431" s="6"/>
      <c r="CS431" s="16"/>
    </row>
    <row r="432" spans="1:97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R432" s="6"/>
      <c r="CS432" s="16"/>
    </row>
    <row r="433" spans="1:97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R433" s="6"/>
      <c r="CS433" s="16"/>
    </row>
    <row r="434" spans="1:97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R434" s="6"/>
      <c r="CS434" s="16"/>
    </row>
    <row r="435" spans="1:97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R435" s="6"/>
      <c r="CS435" s="16"/>
    </row>
    <row r="436" spans="1:97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R436" s="6"/>
      <c r="CS436" s="16"/>
    </row>
    <row r="437" spans="1:97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R437" s="6"/>
      <c r="CS437" s="16"/>
    </row>
    <row r="438" spans="1:97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R438" s="6"/>
      <c r="CS438" s="16"/>
    </row>
    <row r="439" spans="1:97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R439" s="6"/>
      <c r="CS439" s="16"/>
    </row>
    <row r="440" spans="1:97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R440" s="6"/>
      <c r="CS440" s="16"/>
    </row>
    <row r="441" spans="1:97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R441" s="6"/>
      <c r="CS441" s="16"/>
    </row>
    <row r="442" spans="1:97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R442" s="6"/>
      <c r="CS442" s="16"/>
    </row>
    <row r="443" spans="1:97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R443" s="6"/>
      <c r="CS443" s="16"/>
    </row>
    <row r="444" spans="1:97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R444" s="6"/>
      <c r="CS444" s="16"/>
    </row>
    <row r="445" spans="1:97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R445" s="6"/>
      <c r="CS445" s="16"/>
    </row>
    <row r="446" spans="1:97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R446" s="6"/>
      <c r="CS446" s="16"/>
    </row>
    <row r="447" spans="1:97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R447" s="6"/>
      <c r="CS447" s="16"/>
    </row>
    <row r="448" spans="1:97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R448" s="6"/>
      <c r="CS448" s="16"/>
    </row>
    <row r="449" spans="1:97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R449" s="6"/>
      <c r="CS449" s="16"/>
    </row>
    <row r="450" spans="1:97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R450" s="6"/>
      <c r="CS450" s="16"/>
    </row>
    <row r="451" spans="1:97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R451" s="6"/>
      <c r="CS451" s="16"/>
    </row>
    <row r="452" spans="1:97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R452" s="6"/>
      <c r="CS452" s="16"/>
    </row>
    <row r="453" spans="1:97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R453" s="6"/>
      <c r="CS453" s="16"/>
    </row>
    <row r="454" spans="1:97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R454" s="6"/>
      <c r="CS454" s="16"/>
    </row>
    <row r="455" spans="1:97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R455" s="6"/>
      <c r="CS455" s="16"/>
    </row>
    <row r="456" spans="1:97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R456" s="6"/>
      <c r="CS456" s="16"/>
    </row>
    <row r="457" spans="1:97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R457" s="6"/>
      <c r="CS457" s="16"/>
    </row>
    <row r="458" spans="1:97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R458" s="6"/>
      <c r="CS458" s="16"/>
    </row>
    <row r="459" spans="1:97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R459" s="6"/>
      <c r="CS459" s="16"/>
    </row>
    <row r="460" spans="1:97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R460" s="6"/>
      <c r="CS460" s="16"/>
    </row>
    <row r="461" spans="1:97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R461" s="6"/>
      <c r="CS461" s="16"/>
    </row>
    <row r="462" spans="1:97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R462" s="6"/>
      <c r="CS462" s="16"/>
    </row>
    <row r="463" spans="1:97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R463" s="6"/>
      <c r="CS463" s="16"/>
    </row>
    <row r="464" spans="1:97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R464" s="6"/>
      <c r="CS464" s="16"/>
    </row>
    <row r="465" spans="1:97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R465" s="6"/>
      <c r="CS465" s="16"/>
    </row>
    <row r="466" spans="1:97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R466" s="6"/>
      <c r="CS466" s="16"/>
    </row>
    <row r="467" spans="1:97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R467" s="6"/>
      <c r="CS467" s="16"/>
    </row>
    <row r="468" spans="1:97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R468" s="6"/>
      <c r="CS468" s="16"/>
    </row>
    <row r="469" spans="1:97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R469" s="6"/>
      <c r="CS469" s="16"/>
    </row>
    <row r="470" spans="1:97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R470" s="6"/>
      <c r="CS470" s="16"/>
    </row>
    <row r="471" spans="1:97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R471" s="6"/>
      <c r="CS471" s="16"/>
    </row>
    <row r="472" spans="1:97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R472" s="6"/>
      <c r="CS472" s="16"/>
    </row>
    <row r="473" spans="1:97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R473" s="6"/>
      <c r="CS473" s="16"/>
    </row>
    <row r="474" spans="1:97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R474" s="6"/>
      <c r="CS474" s="16"/>
    </row>
    <row r="475" spans="1:97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R475" s="6"/>
      <c r="CS475" s="16"/>
    </row>
    <row r="476" spans="1:97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R476" s="6"/>
      <c r="CS476" s="16"/>
    </row>
    <row r="477" spans="1:97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R477" s="6"/>
      <c r="CS477" s="16"/>
    </row>
    <row r="478" spans="1:97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R478" s="6"/>
      <c r="CS478" s="16"/>
    </row>
    <row r="479" spans="1:97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R479" s="6"/>
      <c r="CS479" s="16"/>
    </row>
    <row r="480" spans="1:97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R480" s="6"/>
      <c r="CS480" s="16"/>
    </row>
    <row r="481" spans="1:97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R481" s="6"/>
      <c r="CS481" s="16"/>
    </row>
    <row r="482" spans="1:97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R482" s="6"/>
      <c r="CS482" s="16"/>
    </row>
    <row r="483" spans="1:97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R483" s="6"/>
      <c r="CS483" s="16"/>
    </row>
    <row r="484" spans="1:97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R484" s="6"/>
      <c r="CS484" s="16"/>
    </row>
    <row r="485" spans="1:97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R485" s="6"/>
      <c r="CS485" s="16"/>
    </row>
    <row r="486" spans="1:97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R486" s="6"/>
      <c r="CS486" s="16"/>
    </row>
    <row r="487" spans="1:97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R487" s="6"/>
      <c r="CS487" s="16"/>
    </row>
    <row r="488" spans="1:97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R488" s="6"/>
      <c r="CS488" s="16"/>
    </row>
    <row r="489" spans="1:97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R489" s="6"/>
      <c r="CS489" s="16"/>
    </row>
    <row r="490" spans="1:97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R490" s="6"/>
      <c r="CS490" s="16"/>
    </row>
    <row r="491" spans="1:97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R491" s="6"/>
      <c r="CS491" s="16"/>
    </row>
    <row r="492" spans="1:97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R492" s="6"/>
      <c r="CS492" s="16"/>
    </row>
    <row r="493" spans="1:97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R493" s="6"/>
      <c r="CS493" s="16"/>
    </row>
    <row r="494" spans="1:97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R494" s="6"/>
      <c r="CS494" s="16"/>
    </row>
    <row r="495" spans="1:97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R495" s="6"/>
      <c r="CS495" s="16"/>
    </row>
    <row r="496" spans="1:97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R496" s="6"/>
      <c r="CS496" s="16"/>
    </row>
    <row r="497" spans="1:97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R497" s="6"/>
      <c r="CS497" s="16"/>
    </row>
    <row r="498" spans="1:97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R498" s="6"/>
      <c r="CS498" s="16"/>
    </row>
    <row r="499" spans="1:97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R499" s="6"/>
      <c r="CS499" s="16"/>
    </row>
    <row r="500" spans="1:97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R500" s="6"/>
      <c r="CS500" s="16"/>
    </row>
    <row r="501" spans="1:97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R501" s="6"/>
      <c r="CS501" s="16"/>
    </row>
    <row r="502" spans="1:97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R502" s="6"/>
      <c r="CS502" s="16"/>
    </row>
    <row r="503" spans="1:97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R503" s="6"/>
      <c r="CS503" s="16"/>
    </row>
    <row r="504" spans="1:97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R504" s="6"/>
      <c r="CS504" s="16"/>
    </row>
    <row r="505" spans="1:97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R505" s="6"/>
      <c r="CS505" s="16"/>
    </row>
    <row r="506" spans="1:97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R506" s="6"/>
      <c r="CS506" s="16"/>
    </row>
    <row r="507" spans="1:97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R507" s="6"/>
      <c r="CS507" s="16"/>
    </row>
    <row r="508" spans="1:97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R508" s="6"/>
      <c r="CS508" s="16"/>
    </row>
    <row r="509" spans="1:97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R509" s="6"/>
      <c r="CS509" s="16"/>
    </row>
    <row r="510" spans="1:97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R510" s="6"/>
      <c r="CS510" s="16"/>
    </row>
    <row r="511" spans="1:97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R511" s="6"/>
      <c r="CS511" s="16"/>
    </row>
    <row r="512" spans="1:97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R512" s="6"/>
      <c r="CS512" s="16"/>
    </row>
    <row r="513" spans="1:97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R513" s="6"/>
      <c r="CS513" s="16"/>
    </row>
    <row r="514" spans="1:97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R514" s="6"/>
      <c r="CS514" s="16"/>
    </row>
    <row r="515" spans="1:97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R515" s="6"/>
      <c r="CS515" s="16"/>
    </row>
    <row r="516" spans="1:97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R516" s="6"/>
      <c r="CS516" s="16"/>
    </row>
    <row r="517" spans="1:97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R517" s="6"/>
      <c r="CS517" s="16"/>
    </row>
    <row r="518" spans="1:97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R518" s="6"/>
      <c r="CS518" s="16"/>
    </row>
    <row r="519" spans="1:97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R519" s="6"/>
      <c r="CS519" s="16"/>
    </row>
    <row r="520" spans="1:97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R520" s="6"/>
      <c r="CS520" s="16"/>
    </row>
    <row r="521" spans="1:97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R521" s="6"/>
      <c r="CS521" s="16"/>
    </row>
    <row r="522" spans="1:97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R522" s="6"/>
      <c r="CS522" s="16"/>
    </row>
    <row r="523" spans="1:97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R523" s="6"/>
      <c r="CS523" s="16"/>
    </row>
    <row r="524" spans="1:97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R524" s="6"/>
      <c r="CS524" s="16"/>
    </row>
    <row r="525" spans="1:97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R525" s="6"/>
      <c r="CS525" s="16"/>
    </row>
    <row r="526" spans="1:97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R526" s="6"/>
      <c r="CS526" s="16"/>
    </row>
    <row r="527" spans="1:97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R527" s="6"/>
      <c r="CS527" s="16"/>
    </row>
    <row r="528" spans="1:97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R528" s="6"/>
      <c r="CS528" s="16"/>
    </row>
    <row r="529" spans="1:97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R529" s="6"/>
      <c r="CS529" s="16"/>
    </row>
    <row r="530" spans="1:97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R530" s="6"/>
      <c r="CS530" s="16"/>
    </row>
    <row r="531" spans="1:97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R531" s="6"/>
      <c r="CS531" s="16"/>
    </row>
    <row r="532" spans="1:97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R532" s="6"/>
      <c r="CS532" s="16"/>
    </row>
    <row r="533" spans="1:97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R533" s="6"/>
      <c r="CS533" s="16"/>
    </row>
    <row r="534" spans="1:97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R534" s="6"/>
      <c r="CS534" s="16"/>
    </row>
    <row r="535" spans="1:97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R535" s="6"/>
      <c r="CS535" s="16"/>
    </row>
    <row r="536" spans="1:97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R536" s="6"/>
      <c r="CS536" s="16"/>
    </row>
    <row r="537" spans="1:97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R537" s="6"/>
      <c r="CS537" s="16"/>
    </row>
    <row r="538" spans="1:97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R538" s="6"/>
      <c r="CS538" s="16"/>
    </row>
    <row r="539" spans="1:97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R539" s="6"/>
      <c r="CS539" s="16"/>
    </row>
    <row r="540" spans="1:97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R540" s="6"/>
      <c r="CS540" s="16"/>
    </row>
    <row r="541" spans="1:97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R541" s="6"/>
      <c r="CS541" s="16"/>
    </row>
    <row r="542" spans="1:97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R542" s="6"/>
      <c r="CS542" s="16"/>
    </row>
    <row r="543" spans="1:97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R543" s="6"/>
      <c r="CS543" s="16"/>
    </row>
    <row r="544" spans="1:97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R544" s="6"/>
      <c r="CS544" s="16"/>
    </row>
    <row r="545" spans="1:97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R545" s="6"/>
      <c r="CS545" s="16"/>
    </row>
    <row r="546" spans="1:97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R546" s="6"/>
      <c r="CS546" s="16"/>
    </row>
    <row r="547" spans="1:97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R547" s="6"/>
      <c r="CS547" s="16"/>
    </row>
    <row r="548" spans="1:97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R548" s="6"/>
      <c r="CS548" s="16"/>
    </row>
    <row r="549" spans="1:97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R549" s="6"/>
      <c r="CS549" s="16"/>
    </row>
    <row r="550" spans="1:97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R550" s="6"/>
      <c r="CS550" s="16"/>
    </row>
    <row r="551" spans="1:97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R551" s="6"/>
      <c r="CS551" s="16"/>
    </row>
    <row r="552" spans="1:97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R552" s="6"/>
      <c r="CS552" s="16"/>
    </row>
    <row r="553" spans="1:97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R553" s="6"/>
      <c r="CS553" s="16"/>
    </row>
    <row r="554" spans="1:97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R554" s="6"/>
      <c r="CS554" s="16"/>
    </row>
    <row r="555" spans="1:97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R555" s="6"/>
      <c r="CS555" s="16"/>
    </row>
    <row r="556" spans="1:97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R556" s="6"/>
      <c r="CS556" s="16"/>
    </row>
    <row r="557" spans="1:97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R557" s="6"/>
      <c r="CS557" s="16"/>
    </row>
    <row r="558" spans="1:97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R558" s="6"/>
      <c r="CS558" s="16"/>
    </row>
    <row r="559" spans="1:97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R559" s="6"/>
      <c r="CS559" s="16"/>
    </row>
    <row r="560" spans="1:97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R560" s="6"/>
      <c r="CS560" s="16"/>
    </row>
    <row r="561" spans="1:97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R561" s="6"/>
      <c r="CS561" s="16"/>
    </row>
    <row r="562" spans="1:97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R562" s="6"/>
      <c r="CS562" s="16"/>
    </row>
    <row r="563" spans="1:97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R563" s="6"/>
      <c r="CS563" s="16"/>
    </row>
    <row r="564" spans="1:97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R564" s="6"/>
      <c r="CS564" s="16"/>
    </row>
    <row r="565" spans="1:97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R565" s="6"/>
      <c r="CS565" s="16"/>
    </row>
    <row r="566" spans="1:97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R566" s="6"/>
      <c r="CS566" s="16"/>
    </row>
    <row r="567" spans="1:97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R567" s="6"/>
      <c r="CS567" s="16"/>
    </row>
    <row r="568" spans="1:97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R568" s="6"/>
      <c r="CS568" s="16"/>
    </row>
    <row r="569" spans="1:97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R569" s="6"/>
      <c r="CS569" s="16"/>
    </row>
    <row r="570" spans="1:97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R570" s="6"/>
      <c r="CS570" s="16"/>
    </row>
    <row r="571" spans="1:97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R571" s="6"/>
      <c r="CS571" s="16"/>
    </row>
    <row r="572" spans="1:97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R572" s="6"/>
      <c r="CS572" s="16"/>
    </row>
    <row r="573" spans="1:97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R573" s="6"/>
      <c r="CS573" s="16"/>
    </row>
    <row r="574" spans="1:97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R574" s="6"/>
      <c r="CS574" s="16"/>
    </row>
    <row r="575" spans="1:97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R575" s="6"/>
      <c r="CS575" s="16"/>
    </row>
    <row r="576" spans="1:97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R576" s="6"/>
      <c r="CS576" s="16"/>
    </row>
    <row r="577" spans="1:97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R577" s="6"/>
      <c r="CS577" s="16"/>
    </row>
    <row r="578" spans="1:97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R578" s="6"/>
      <c r="CS578" s="16"/>
    </row>
    <row r="579" spans="1:97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R579" s="6"/>
      <c r="CS579" s="16"/>
    </row>
    <row r="580" spans="1:97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R580" s="6"/>
      <c r="CS580" s="16"/>
    </row>
    <row r="581" spans="1:97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R581" s="6"/>
      <c r="CS581" s="16"/>
    </row>
    <row r="582" spans="1:97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R582" s="6"/>
      <c r="CS582" s="16"/>
    </row>
    <row r="583" spans="1:97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R583" s="6"/>
      <c r="CS583" s="16"/>
    </row>
    <row r="584" spans="1:97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R584" s="6"/>
      <c r="CS584" s="16"/>
    </row>
    <row r="585" spans="1:97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R585" s="6"/>
      <c r="CS585" s="16"/>
    </row>
    <row r="586" spans="1:97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R586" s="6"/>
      <c r="CS586" s="16"/>
    </row>
    <row r="587" spans="1:97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R587" s="6"/>
      <c r="CS587" s="16"/>
    </row>
    <row r="588" spans="1:97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R588" s="6"/>
      <c r="CS588" s="16"/>
    </row>
    <row r="589" spans="1:97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R589" s="6"/>
      <c r="CS589" s="16"/>
    </row>
    <row r="590" spans="1:97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R590" s="6"/>
      <c r="CS590" s="16"/>
    </row>
    <row r="591" spans="1:97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R591" s="6"/>
      <c r="CS591" s="16"/>
    </row>
    <row r="592" spans="1:97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R592" s="6"/>
      <c r="CS592" s="16"/>
    </row>
    <row r="593" spans="1:97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R593" s="6"/>
      <c r="CS593" s="16"/>
    </row>
    <row r="594" spans="1:97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R594" s="6"/>
      <c r="CS594" s="16"/>
    </row>
    <row r="595" spans="1:97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R595" s="6"/>
      <c r="CS595" s="16"/>
    </row>
    <row r="596" spans="1:97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R596" s="6"/>
      <c r="CS596" s="16"/>
    </row>
    <row r="597" spans="1:97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R597" s="6"/>
      <c r="CS597" s="16"/>
    </row>
    <row r="598" spans="1:97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R598" s="6"/>
      <c r="CS598" s="16"/>
    </row>
    <row r="599" spans="1:97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R599" s="6"/>
      <c r="CS599" s="16"/>
    </row>
    <row r="600" spans="1:97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R600" s="6"/>
      <c r="CS600" s="16"/>
    </row>
    <row r="601" spans="1:97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R601" s="6"/>
      <c r="CS601" s="16"/>
    </row>
    <row r="602" spans="1:97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R602" s="6"/>
      <c r="CS602" s="16"/>
    </row>
    <row r="603" spans="1:97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R603" s="6"/>
      <c r="CS603" s="16"/>
    </row>
    <row r="604" spans="1:97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R604" s="6"/>
      <c r="CS604" s="16"/>
    </row>
    <row r="605" spans="1:97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R605" s="6"/>
      <c r="CS605" s="16"/>
    </row>
    <row r="606" spans="1:97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R606" s="6"/>
      <c r="CS606" s="16"/>
    </row>
    <row r="607" spans="1:97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R607" s="6"/>
      <c r="CS607" s="16"/>
    </row>
    <row r="608" spans="1:97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R608" s="6"/>
      <c r="CS608" s="16"/>
    </row>
    <row r="609" spans="1:97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R609" s="6"/>
      <c r="CS609" s="16"/>
    </row>
    <row r="610" spans="1:97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R610" s="6"/>
      <c r="CS610" s="16"/>
    </row>
    <row r="611" spans="1:97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R611" s="6"/>
      <c r="CS611" s="16"/>
    </row>
    <row r="612" spans="1:97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R612" s="6"/>
      <c r="CS612" s="16"/>
    </row>
    <row r="613" spans="1:97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R613" s="6"/>
      <c r="CS613" s="16"/>
    </row>
    <row r="614" spans="1:97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R614" s="6"/>
      <c r="CS614" s="16"/>
    </row>
    <row r="615" spans="1:97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R615" s="6"/>
      <c r="CS615" s="16"/>
    </row>
    <row r="616" spans="1:97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R616" s="6"/>
      <c r="CS616" s="16"/>
    </row>
    <row r="617" spans="1:97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R617" s="6"/>
      <c r="CS617" s="16"/>
    </row>
    <row r="618" spans="1:97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R618" s="6"/>
      <c r="CS618" s="16"/>
    </row>
    <row r="619" spans="1:97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R619" s="6"/>
      <c r="CS619" s="16"/>
    </row>
    <row r="620" spans="1:97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R620" s="6"/>
      <c r="CS620" s="16"/>
    </row>
    <row r="621" spans="1:97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R621" s="6"/>
      <c r="CS621" s="16"/>
    </row>
    <row r="622" spans="1:97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R622" s="6"/>
      <c r="CS622" s="16"/>
    </row>
    <row r="623" spans="1:97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R623" s="6"/>
      <c r="CS623" s="16"/>
    </row>
    <row r="624" spans="1:97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R624" s="6"/>
      <c r="CS624" s="16"/>
    </row>
    <row r="625" spans="1:97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R625" s="6"/>
      <c r="CS625" s="16"/>
    </row>
    <row r="626" spans="1:97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R626" s="6"/>
      <c r="CS626" s="16"/>
    </row>
    <row r="627" spans="1:97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R627" s="6"/>
      <c r="CS627" s="16"/>
    </row>
    <row r="628" spans="1:97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R628" s="6"/>
      <c r="CS628" s="16"/>
    </row>
    <row r="629" spans="1:97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R629" s="6"/>
      <c r="CS629" s="16"/>
    </row>
    <row r="630" spans="1:97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R630" s="6"/>
      <c r="CS630" s="16"/>
    </row>
    <row r="631" spans="1:97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R631" s="6"/>
      <c r="CS631" s="16"/>
    </row>
    <row r="632" spans="1:97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R632" s="6"/>
      <c r="CS632" s="16"/>
    </row>
    <row r="633" spans="1:97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R633" s="6"/>
      <c r="CS633" s="16"/>
    </row>
    <row r="634" spans="1:97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R634" s="6"/>
      <c r="CS634" s="16"/>
    </row>
    <row r="635" spans="1:97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R635" s="6"/>
      <c r="CS635" s="16"/>
    </row>
    <row r="636" spans="1:97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R636" s="6"/>
      <c r="CS636" s="16"/>
    </row>
    <row r="637" spans="1:97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R637" s="6"/>
      <c r="CS637" s="16"/>
    </row>
    <row r="638" spans="1:97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R638" s="6"/>
      <c r="CS638" s="16"/>
    </row>
    <row r="639" spans="1:97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R639" s="6"/>
      <c r="CS639" s="16"/>
    </row>
    <row r="640" spans="1:97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R640" s="6"/>
      <c r="CS640" s="16"/>
    </row>
    <row r="641" spans="1:97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R641" s="6"/>
      <c r="CS641" s="16"/>
    </row>
    <row r="642" spans="1:97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R642" s="6"/>
      <c r="CS642" s="16"/>
    </row>
    <row r="643" spans="1:97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R643" s="6"/>
      <c r="CS643" s="16"/>
    </row>
    <row r="644" spans="1:97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R644" s="6"/>
      <c r="CS644" s="16"/>
    </row>
    <row r="645" spans="1:97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R645" s="6"/>
      <c r="CS645" s="16"/>
    </row>
    <row r="646" spans="1:97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R646" s="6"/>
      <c r="CS646" s="16"/>
    </row>
    <row r="647" spans="1:97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R647" s="6"/>
      <c r="CS647" s="16"/>
    </row>
    <row r="648" spans="1:97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R648" s="6"/>
      <c r="CS648" s="16"/>
    </row>
    <row r="649" spans="1:97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R649" s="6"/>
      <c r="CS649" s="16"/>
    </row>
    <row r="650" spans="1:97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R650" s="6"/>
      <c r="CS650" s="16"/>
    </row>
    <row r="651" spans="1:97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R651" s="6"/>
      <c r="CS651" s="16"/>
    </row>
    <row r="652" spans="1:97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R652" s="6"/>
      <c r="CS652" s="16"/>
    </row>
    <row r="653" spans="1:97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R653" s="6"/>
      <c r="CS653" s="16"/>
    </row>
    <row r="654" spans="1:97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R654" s="6"/>
      <c r="CS654" s="16"/>
    </row>
    <row r="655" spans="1:97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R655" s="6"/>
      <c r="CS655" s="16"/>
    </row>
    <row r="656" spans="1:97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R656" s="6"/>
      <c r="CS656" s="16"/>
    </row>
    <row r="657" spans="1:97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R657" s="6"/>
      <c r="CS657" s="16"/>
    </row>
    <row r="658" spans="1:97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R658" s="6"/>
      <c r="CS658" s="16"/>
    </row>
    <row r="659" spans="1:97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R659" s="6"/>
      <c r="CS659" s="16"/>
    </row>
    <row r="660" spans="1:97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R660" s="6"/>
      <c r="CS660" s="16"/>
    </row>
    <row r="661" spans="1:97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R661" s="6"/>
      <c r="CS661" s="16"/>
    </row>
    <row r="662" spans="1:97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R662" s="6"/>
      <c r="CS662" s="16"/>
    </row>
    <row r="663" spans="1:97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R663" s="6"/>
      <c r="CS663" s="16"/>
    </row>
    <row r="664" spans="1:97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R664" s="6"/>
      <c r="CS664" s="16"/>
    </row>
    <row r="665" spans="1:97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R665" s="6"/>
      <c r="CS665" s="16"/>
    </row>
    <row r="666" spans="1:97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R666" s="6"/>
      <c r="CS666" s="16"/>
    </row>
    <row r="667" spans="1:97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R667" s="6"/>
      <c r="CS667" s="16"/>
    </row>
    <row r="668" spans="1:97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R668" s="6"/>
      <c r="CS668" s="16"/>
    </row>
    <row r="669" spans="1:97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R669" s="6"/>
      <c r="CS669" s="16"/>
    </row>
    <row r="670" spans="1:97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R670" s="6"/>
      <c r="CS670" s="16"/>
    </row>
    <row r="671" spans="1:97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R671" s="6"/>
      <c r="CS671" s="16"/>
    </row>
    <row r="672" spans="1:97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R672" s="6"/>
      <c r="CS672" s="16"/>
    </row>
    <row r="673" spans="1:97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R673" s="6"/>
      <c r="CS673" s="16"/>
    </row>
    <row r="674" spans="1:97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R674" s="6"/>
      <c r="CS674" s="16"/>
    </row>
    <row r="675" spans="1:97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R675" s="6"/>
      <c r="CS675" s="16"/>
    </row>
    <row r="676" spans="1:97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R676" s="6"/>
      <c r="CS676" s="16"/>
    </row>
    <row r="677" spans="1:97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R677" s="6"/>
      <c r="CS677" s="16"/>
    </row>
    <row r="678" spans="1:97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R678" s="6"/>
      <c r="CS678" s="16"/>
    </row>
    <row r="679" spans="1:97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R679" s="6"/>
      <c r="CS679" s="16"/>
    </row>
    <row r="680" spans="1:97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R680" s="6"/>
      <c r="CS680" s="16"/>
    </row>
    <row r="681" spans="1:97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R681" s="6"/>
      <c r="CS681" s="16"/>
    </row>
    <row r="682" spans="1:97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R682" s="6"/>
      <c r="CS682" s="16"/>
    </row>
    <row r="683" spans="1:97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R683" s="6"/>
      <c r="CS683" s="16"/>
    </row>
    <row r="684" spans="1:97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R684" s="6"/>
      <c r="CS684" s="16"/>
    </row>
    <row r="685" spans="1:97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R685" s="6"/>
      <c r="CS685" s="16"/>
    </row>
    <row r="686" spans="1:97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R686" s="6"/>
      <c r="CS686" s="16"/>
    </row>
    <row r="687" spans="1:97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R687" s="6"/>
      <c r="CS687" s="16"/>
    </row>
    <row r="688" spans="1:97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R688" s="6"/>
      <c r="CS688" s="16"/>
    </row>
    <row r="689" spans="1:97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R689" s="6"/>
      <c r="CS689" s="16"/>
    </row>
    <row r="690" spans="1:97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R690" s="6"/>
      <c r="CS690" s="16"/>
    </row>
    <row r="691" spans="1:97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R691" s="6"/>
      <c r="CS691" s="16"/>
    </row>
    <row r="692" spans="1:97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R692" s="6"/>
      <c r="CS692" s="16"/>
    </row>
    <row r="693" spans="1:97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R693" s="6"/>
      <c r="CS693" s="16"/>
    </row>
    <row r="694" spans="1:97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R694" s="6"/>
      <c r="CS694" s="16"/>
    </row>
    <row r="695" spans="1:97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R695" s="6"/>
      <c r="CS695" s="16"/>
    </row>
    <row r="696" spans="1:97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R696" s="6"/>
      <c r="CS696" s="16"/>
    </row>
    <row r="697" spans="1:97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R697" s="6"/>
      <c r="CS697" s="16"/>
    </row>
    <row r="698" spans="1:97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R698" s="6"/>
      <c r="CS698" s="16"/>
    </row>
    <row r="699" spans="1:97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R699" s="6"/>
      <c r="CS699" s="16"/>
    </row>
    <row r="700" spans="1:97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R700" s="6"/>
      <c r="CS700" s="16"/>
    </row>
    <row r="701" spans="1:97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R701" s="6"/>
      <c r="CS701" s="16"/>
    </row>
    <row r="702" spans="1:97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R702" s="6"/>
      <c r="CS702" s="16"/>
    </row>
    <row r="703" spans="1:97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R703" s="6"/>
      <c r="CS703" s="16"/>
    </row>
    <row r="704" spans="1:97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R704" s="6"/>
      <c r="CS704" s="16"/>
    </row>
    <row r="705" spans="1:97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R705" s="6"/>
      <c r="CS705" s="16"/>
    </row>
    <row r="706" spans="1:97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R706" s="6"/>
      <c r="CS706" s="16"/>
    </row>
    <row r="707" spans="1:97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R707" s="6"/>
      <c r="CS707" s="16"/>
    </row>
    <row r="708" spans="1:97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R708" s="6"/>
      <c r="CS708" s="16"/>
    </row>
    <row r="709" spans="1:97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R709" s="6"/>
      <c r="CS709" s="16"/>
    </row>
    <row r="710" spans="1:97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R710" s="6"/>
      <c r="CS710" s="16"/>
    </row>
    <row r="711" spans="1:97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R711" s="6"/>
      <c r="CS711" s="16"/>
    </row>
    <row r="712" spans="1:97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R712" s="6"/>
      <c r="CS712" s="16"/>
    </row>
    <row r="713" spans="1:97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R713" s="6"/>
      <c r="CS713" s="16"/>
    </row>
    <row r="714" spans="1:97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R714" s="6"/>
      <c r="CS714" s="16"/>
    </row>
    <row r="715" spans="1:97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R715" s="6"/>
      <c r="CS715" s="16"/>
    </row>
    <row r="716" spans="1:97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R716" s="6"/>
      <c r="CS716" s="16"/>
    </row>
    <row r="717" spans="1:97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R717" s="6"/>
      <c r="CS717" s="16"/>
    </row>
    <row r="718" spans="1:97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R718" s="6"/>
      <c r="CS718" s="16"/>
    </row>
    <row r="719" spans="1:97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R719" s="6"/>
      <c r="CS719" s="16"/>
    </row>
    <row r="720" spans="1:97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R720" s="6"/>
      <c r="CS720" s="16"/>
    </row>
    <row r="721" spans="1:97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R721" s="6"/>
      <c r="CS721" s="16"/>
    </row>
    <row r="722" spans="1:97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R722" s="6"/>
      <c r="CS722" s="16"/>
    </row>
    <row r="723" spans="1:97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R723" s="6"/>
      <c r="CS723" s="16"/>
    </row>
    <row r="724" spans="1:97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R724" s="6"/>
      <c r="CS724" s="16"/>
    </row>
    <row r="725" spans="1:97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R725" s="6"/>
      <c r="CS725" s="16"/>
    </row>
    <row r="726" spans="1:97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R726" s="6"/>
      <c r="CS726" s="16"/>
    </row>
    <row r="727" spans="1:97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R727" s="6"/>
      <c r="CS727" s="16"/>
    </row>
    <row r="728" spans="1:97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R728" s="6"/>
      <c r="CS728" s="16"/>
    </row>
    <row r="729" spans="1:97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R729" s="6"/>
      <c r="CS729" s="16"/>
    </row>
    <row r="730" spans="1:97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R730" s="6"/>
      <c r="CS730" s="16"/>
    </row>
    <row r="731" spans="1:97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R731" s="6"/>
      <c r="CS731" s="16"/>
    </row>
    <row r="732" spans="1:97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R732" s="6"/>
      <c r="CS732" s="16"/>
    </row>
    <row r="733" spans="1:97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R733" s="6"/>
      <c r="CS733" s="16"/>
    </row>
    <row r="734" spans="1:97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R734" s="6"/>
      <c r="CS734" s="16"/>
    </row>
    <row r="735" spans="1:97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R735" s="6"/>
      <c r="CS735" s="16"/>
    </row>
    <row r="736" spans="1:97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R736" s="6"/>
      <c r="CS736" s="16"/>
    </row>
    <row r="737" spans="1:97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R737" s="6"/>
      <c r="CS737" s="16"/>
    </row>
    <row r="738" spans="1:97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R738" s="6"/>
      <c r="CS738" s="16"/>
    </row>
    <row r="739" spans="1:97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R739" s="6"/>
      <c r="CS739" s="16"/>
    </row>
    <row r="740" spans="1:97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R740" s="6"/>
      <c r="CS740" s="16"/>
    </row>
    <row r="741" spans="1:97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R741" s="6"/>
      <c r="CS741" s="16"/>
    </row>
    <row r="742" spans="1:97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R742" s="6"/>
      <c r="CS742" s="16"/>
    </row>
    <row r="743" spans="1:97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R743" s="6"/>
      <c r="CS743" s="16"/>
    </row>
    <row r="744" spans="1:97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R744" s="6"/>
      <c r="CS744" s="16"/>
    </row>
    <row r="745" spans="1:97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R745" s="6"/>
      <c r="CS745" s="16"/>
    </row>
    <row r="746" spans="1:97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R746" s="6"/>
      <c r="CS746" s="16"/>
    </row>
    <row r="747" spans="1:97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R747" s="6"/>
      <c r="CS747" s="16"/>
    </row>
    <row r="748" spans="1:97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R748" s="6"/>
      <c r="CS748" s="16"/>
    </row>
    <row r="749" spans="1:97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R749" s="6"/>
      <c r="CS749" s="16"/>
    </row>
    <row r="750" spans="1:97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R750" s="6"/>
      <c r="CS750" s="16"/>
    </row>
    <row r="751" spans="1:97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R751" s="6"/>
      <c r="CS751" s="16"/>
    </row>
    <row r="752" spans="1:97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R752" s="6"/>
      <c r="CS752" s="16"/>
    </row>
    <row r="753" spans="1:97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R753" s="6"/>
      <c r="CS753" s="16"/>
    </row>
    <row r="754" spans="1:97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R754" s="6"/>
      <c r="CS754" s="16"/>
    </row>
    <row r="755" spans="1:97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R755" s="6"/>
      <c r="CS755" s="16"/>
    </row>
    <row r="756" spans="1:97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R756" s="6"/>
      <c r="CS756" s="16"/>
    </row>
    <row r="757" spans="1:97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R757" s="6"/>
      <c r="CS757" s="16"/>
    </row>
    <row r="758" spans="1:97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R758" s="6"/>
      <c r="CS758" s="16"/>
    </row>
    <row r="759" spans="1:97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R759" s="6"/>
      <c r="CS759" s="16"/>
    </row>
    <row r="760" spans="1:97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R760" s="6"/>
      <c r="CS760" s="16"/>
    </row>
    <row r="761" spans="1:97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R761" s="6"/>
      <c r="CS761" s="16"/>
    </row>
    <row r="762" spans="1:97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R762" s="6"/>
      <c r="CS762" s="16"/>
    </row>
    <row r="763" spans="1:97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R763" s="6"/>
      <c r="CS763" s="16"/>
    </row>
    <row r="764" spans="1:97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R764" s="6"/>
      <c r="CS764" s="16"/>
    </row>
    <row r="765" spans="1:97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R765" s="6"/>
      <c r="CS765" s="16"/>
    </row>
    <row r="766" spans="1:97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R766" s="6"/>
      <c r="CS766" s="16"/>
    </row>
    <row r="767" spans="1:97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R767" s="6"/>
      <c r="CS767" s="16"/>
    </row>
    <row r="768" spans="1:97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R768" s="6"/>
      <c r="CS768" s="16"/>
    </row>
    <row r="769" spans="1:97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R769" s="6"/>
      <c r="CS769" s="16"/>
    </row>
    <row r="770" spans="1:97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R770" s="6"/>
      <c r="CS770" s="16"/>
    </row>
    <row r="771" spans="1:97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R771" s="6"/>
      <c r="CS771" s="16"/>
    </row>
    <row r="772" spans="1:97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R772" s="6"/>
      <c r="CS772" s="16"/>
    </row>
    <row r="773" spans="1:97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R773" s="6"/>
      <c r="CS773" s="16"/>
    </row>
    <row r="774" spans="1:97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R774" s="6"/>
      <c r="CS774" s="16"/>
    </row>
    <row r="775" spans="1:97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R775" s="6"/>
      <c r="CS775" s="16"/>
    </row>
    <row r="776" spans="1:97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R776" s="6"/>
      <c r="CS776" s="16"/>
    </row>
    <row r="777" spans="1:97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R777" s="6"/>
      <c r="CS777" s="16"/>
    </row>
    <row r="778" spans="1:97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R778" s="6"/>
      <c r="CS778" s="16"/>
    </row>
    <row r="779" spans="1:97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R779" s="6"/>
      <c r="CS779" s="16"/>
    </row>
    <row r="780" spans="1:97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R780" s="6"/>
      <c r="CS780" s="16"/>
    </row>
    <row r="781" spans="1:97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R781" s="6"/>
      <c r="CS781" s="16"/>
    </row>
    <row r="782" spans="1:97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R782" s="6"/>
      <c r="CS782" s="16"/>
    </row>
    <row r="783" spans="1:97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R783" s="6"/>
      <c r="CS783" s="16"/>
    </row>
    <row r="784" spans="1:97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R784" s="6"/>
      <c r="CS784" s="16"/>
    </row>
    <row r="785" spans="1:97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R785" s="6"/>
      <c r="CS785" s="16"/>
    </row>
    <row r="786" spans="1:97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R786" s="6"/>
      <c r="CS786" s="16"/>
    </row>
    <row r="787" spans="1:97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R787" s="6"/>
      <c r="CS787" s="16"/>
    </row>
    <row r="788" spans="1:97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R788" s="6"/>
      <c r="CS788" s="16"/>
    </row>
    <row r="789" spans="1:97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R789" s="6"/>
      <c r="CS789" s="16"/>
    </row>
    <row r="790" spans="1:97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R790" s="6"/>
      <c r="CS790" s="16"/>
    </row>
    <row r="791" spans="1:97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R791" s="6"/>
      <c r="CS791" s="16"/>
    </row>
    <row r="792" spans="1:97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R792" s="6"/>
      <c r="CS792" s="16"/>
    </row>
    <row r="793" spans="1:97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R793" s="6"/>
      <c r="CS793" s="16"/>
    </row>
    <row r="794" spans="1:97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R794" s="6"/>
      <c r="CS794" s="16"/>
    </row>
    <row r="795" spans="1:97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R795" s="6"/>
      <c r="CS795" s="16"/>
    </row>
    <row r="796" spans="1:97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R796" s="6"/>
      <c r="CS796" s="16"/>
    </row>
    <row r="797" spans="1:97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R797" s="6"/>
      <c r="CS797" s="16"/>
    </row>
    <row r="798" spans="1:97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R798" s="6"/>
      <c r="CS798" s="16"/>
    </row>
    <row r="799" spans="1:97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R799" s="6"/>
      <c r="CS799" s="16"/>
    </row>
    <row r="800" spans="1:97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R800" s="6"/>
      <c r="CS800" s="16"/>
    </row>
    <row r="801" spans="1:97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R801" s="6"/>
      <c r="CS801" s="16"/>
    </row>
    <row r="802" spans="1:97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R802" s="6"/>
      <c r="CS802" s="16"/>
    </row>
    <row r="803" spans="1:97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R803" s="6"/>
      <c r="CS803" s="16"/>
    </row>
    <row r="804" spans="1:97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R804" s="6"/>
      <c r="CS804" s="16"/>
    </row>
    <row r="805" spans="1:97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R805" s="6"/>
      <c r="CS805" s="16"/>
    </row>
    <row r="806" spans="1:97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R806" s="6"/>
      <c r="CS806" s="16"/>
    </row>
    <row r="807" spans="1:97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R807" s="6"/>
      <c r="CS807" s="16"/>
    </row>
    <row r="808" spans="1:97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R808" s="6"/>
      <c r="CS808" s="16"/>
    </row>
    <row r="809" spans="1:97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R809" s="6"/>
      <c r="CS809" s="16"/>
    </row>
    <row r="810" spans="1:97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R810" s="6"/>
      <c r="CS810" s="16"/>
    </row>
    <row r="811" spans="1:97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R811" s="6"/>
      <c r="CS811" s="16"/>
    </row>
    <row r="812" spans="1:97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R812" s="6"/>
      <c r="CS812" s="16"/>
    </row>
    <row r="813" spans="1:97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R813" s="6"/>
      <c r="CS813" s="16"/>
    </row>
    <row r="814" spans="1:97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R814" s="6"/>
      <c r="CS814" s="16"/>
    </row>
    <row r="815" spans="1:97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R815" s="6"/>
      <c r="CS815" s="16"/>
    </row>
    <row r="816" spans="1:97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R816" s="6"/>
      <c r="CS816" s="16"/>
    </row>
    <row r="817" spans="1:97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R817" s="6"/>
      <c r="CS817" s="16"/>
    </row>
    <row r="818" spans="1:97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R818" s="6"/>
      <c r="CS818" s="16"/>
    </row>
    <row r="819" spans="1:97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R819" s="6"/>
      <c r="CS819" s="16"/>
    </row>
    <row r="820" spans="1:97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R820" s="6"/>
      <c r="CS820" s="16"/>
    </row>
    <row r="821" spans="1:97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R821" s="6"/>
      <c r="CS821" s="16"/>
    </row>
    <row r="822" spans="1:97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R822" s="6"/>
      <c r="CS822" s="16"/>
    </row>
    <row r="823" spans="1:97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R823" s="6"/>
      <c r="CS823" s="16"/>
    </row>
    <row r="824" spans="1:97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R824" s="6"/>
      <c r="CS824" s="16"/>
    </row>
    <row r="825" spans="1:97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R825" s="6"/>
      <c r="CS825" s="16"/>
    </row>
    <row r="826" spans="1:97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R826" s="6"/>
      <c r="CS826" s="16"/>
    </row>
    <row r="827" spans="1:97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R827" s="6"/>
      <c r="CS827" s="16"/>
    </row>
    <row r="828" spans="1:97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R828" s="6"/>
      <c r="CS828" s="16"/>
    </row>
    <row r="829" spans="1:97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R829" s="6"/>
      <c r="CS829" s="16"/>
    </row>
    <row r="830" spans="1:97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R830" s="6"/>
      <c r="CS830" s="16"/>
    </row>
    <row r="831" spans="1:97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R831" s="6"/>
      <c r="CS831" s="16"/>
    </row>
    <row r="832" spans="1:97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R832" s="6"/>
      <c r="CS832" s="16"/>
    </row>
    <row r="833" spans="1:97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R833" s="6"/>
      <c r="CS833" s="16"/>
    </row>
    <row r="834" spans="1:97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R834" s="6"/>
      <c r="CS834" s="16"/>
    </row>
    <row r="835" spans="1:97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R835" s="6"/>
      <c r="CS835" s="16"/>
    </row>
    <row r="836" spans="1:97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R836" s="6"/>
      <c r="CS836" s="16"/>
    </row>
    <row r="837" spans="1:97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R837" s="6"/>
      <c r="CS837" s="16"/>
    </row>
    <row r="838" spans="1:97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R838" s="6"/>
      <c r="CS838" s="16"/>
    </row>
    <row r="839" spans="1:97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R839" s="6"/>
      <c r="CS839" s="16"/>
    </row>
    <row r="840" spans="1:97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R840" s="6"/>
      <c r="CS840" s="16"/>
    </row>
    <row r="841" spans="1:97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R841" s="6"/>
      <c r="CS841" s="16"/>
    </row>
    <row r="842" spans="1:97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R842" s="6"/>
      <c r="CS842" s="16"/>
    </row>
    <row r="843" spans="1:97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R843" s="6"/>
      <c r="CS843" s="16"/>
    </row>
    <row r="844" spans="1:97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R844" s="6"/>
      <c r="CS844" s="16"/>
    </row>
    <row r="845" spans="1:97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R845" s="6"/>
      <c r="CS845" s="16"/>
    </row>
    <row r="846" spans="1:97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R846" s="6"/>
      <c r="CS846" s="16"/>
    </row>
    <row r="847" spans="1:97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R847" s="6"/>
      <c r="CS847" s="16"/>
    </row>
    <row r="848" spans="1:97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R848" s="6"/>
      <c r="CS848" s="16"/>
    </row>
    <row r="849" spans="1:97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R849" s="6"/>
      <c r="CS849" s="16"/>
    </row>
    <row r="850" spans="1:97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R850" s="6"/>
      <c r="CS850" s="16"/>
    </row>
    <row r="851" spans="1:97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R851" s="6"/>
      <c r="CS851" s="16"/>
    </row>
    <row r="852" spans="1:97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R852" s="6"/>
      <c r="CS852" s="16"/>
    </row>
    <row r="853" spans="1:97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R853" s="6"/>
      <c r="CS853" s="16"/>
    </row>
    <row r="854" spans="1:97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R854" s="6"/>
      <c r="CS854" s="16"/>
    </row>
    <row r="855" spans="1:97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R855" s="6"/>
      <c r="CS855" s="16"/>
    </row>
    <row r="856" spans="1:97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R856" s="6"/>
      <c r="CS856" s="16"/>
    </row>
    <row r="857" spans="1:97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R857" s="6"/>
      <c r="CS857" s="16"/>
    </row>
    <row r="858" spans="1:97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R858" s="6"/>
      <c r="CS858" s="16"/>
    </row>
    <row r="859" spans="1:97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R859" s="6"/>
      <c r="CS859" s="16"/>
    </row>
    <row r="860" spans="1:97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R860" s="6"/>
      <c r="CS860" s="16"/>
    </row>
    <row r="861" spans="1:97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R861" s="6"/>
      <c r="CS861" s="16"/>
    </row>
    <row r="862" spans="1:97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R862" s="6"/>
      <c r="CS862" s="16"/>
    </row>
    <row r="863" spans="1:97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R863" s="6"/>
      <c r="CS863" s="16"/>
    </row>
    <row r="864" spans="1:97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R864" s="6"/>
      <c r="CS864" s="16"/>
    </row>
    <row r="865" spans="1:97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R865" s="6"/>
      <c r="CS865" s="16"/>
    </row>
    <row r="866" spans="1:97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R866" s="6"/>
      <c r="CS866" s="16"/>
    </row>
    <row r="867" spans="1:97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R867" s="6"/>
      <c r="CS867" s="16"/>
    </row>
    <row r="868" spans="1:97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R868" s="6"/>
      <c r="CS868" s="16"/>
    </row>
    <row r="869" spans="1:97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R869" s="6"/>
      <c r="CS869" s="16"/>
    </row>
    <row r="870" spans="1:97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R870" s="6"/>
      <c r="CS870" s="16"/>
    </row>
    <row r="871" spans="1:97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R871" s="6"/>
      <c r="CS871" s="16"/>
    </row>
    <row r="872" spans="1:97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R872" s="6"/>
      <c r="CS872" s="16"/>
    </row>
    <row r="873" spans="1:97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R873" s="6"/>
      <c r="CS873" s="16"/>
    </row>
    <row r="874" spans="1:97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R874" s="6"/>
      <c r="CS874" s="16"/>
    </row>
    <row r="875" spans="1:97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R875" s="6"/>
      <c r="CS875" s="16"/>
    </row>
    <row r="876" spans="1:97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R876" s="6"/>
      <c r="CS876" s="16"/>
    </row>
    <row r="877" spans="1:97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R877" s="6"/>
      <c r="CS877" s="16"/>
    </row>
    <row r="878" spans="1:97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R878" s="6"/>
      <c r="CS878" s="16"/>
    </row>
    <row r="879" spans="1:97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R879" s="6"/>
      <c r="CS879" s="16"/>
    </row>
    <row r="880" spans="1:97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R880" s="6"/>
      <c r="CS880" s="16"/>
    </row>
    <row r="881" spans="1:97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R881" s="6"/>
      <c r="CS881" s="16"/>
    </row>
    <row r="882" spans="1:97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R882" s="6"/>
      <c r="CS882" s="16"/>
    </row>
    <row r="883" spans="1:97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R883" s="6"/>
      <c r="CS883" s="16"/>
    </row>
    <row r="884" spans="1:97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R884" s="6"/>
      <c r="CS884" s="16"/>
    </row>
    <row r="885" spans="1:97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R885" s="6"/>
      <c r="CS885" s="16"/>
    </row>
    <row r="886" spans="1:97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R886" s="6"/>
      <c r="CS886" s="16"/>
    </row>
    <row r="887" spans="1:97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R887" s="6"/>
      <c r="CS887" s="16"/>
    </row>
    <row r="888" spans="1:97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R888" s="6"/>
      <c r="CS888" s="16"/>
    </row>
    <row r="889" spans="1:97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R889" s="6"/>
      <c r="CS889" s="16"/>
    </row>
    <row r="890" spans="1:97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R890" s="6"/>
      <c r="CS890" s="16"/>
    </row>
    <row r="891" spans="1:97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R891" s="6"/>
      <c r="CS891" s="16"/>
    </row>
    <row r="892" spans="1:97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R892" s="6"/>
      <c r="CS892" s="16"/>
    </row>
    <row r="893" spans="1:97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R893" s="6"/>
      <c r="CS893" s="16"/>
    </row>
    <row r="894" spans="1:97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R894" s="6"/>
      <c r="CS894" s="16"/>
    </row>
    <row r="895" spans="1:97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R895" s="6"/>
      <c r="CS895" s="16"/>
    </row>
    <row r="896" spans="1:97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R896" s="6"/>
      <c r="CS896" s="16"/>
    </row>
    <row r="897" spans="1:97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R897" s="6"/>
      <c r="CS897" s="16"/>
    </row>
    <row r="898" spans="1:97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R898" s="6"/>
      <c r="CS898" s="16"/>
    </row>
    <row r="899" spans="1:97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R899" s="6"/>
      <c r="CS899" s="16"/>
    </row>
    <row r="900" spans="1:97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R900" s="6"/>
      <c r="CS900" s="16"/>
    </row>
    <row r="901" spans="1:97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R901" s="6"/>
      <c r="CS901" s="16"/>
    </row>
    <row r="902" spans="1:97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R902" s="6"/>
      <c r="CS902" s="16"/>
    </row>
    <row r="903" spans="1:97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R903" s="6"/>
      <c r="CS903" s="16"/>
    </row>
    <row r="904" spans="1:97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R904" s="6"/>
      <c r="CS904" s="16"/>
    </row>
    <row r="905" spans="1:97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R905" s="6"/>
      <c r="CS905" s="16"/>
    </row>
    <row r="906" spans="1:97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R906" s="6"/>
      <c r="CS906" s="16"/>
    </row>
    <row r="907" spans="1:97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R907" s="6"/>
      <c r="CS907" s="16"/>
    </row>
    <row r="908" spans="1:97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R908" s="6"/>
      <c r="CS908" s="16"/>
    </row>
    <row r="909" spans="1:97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R909" s="6"/>
      <c r="CS909" s="16"/>
    </row>
    <row r="910" spans="1:97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R910" s="6"/>
      <c r="CS910" s="16"/>
    </row>
    <row r="911" spans="1:97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R911" s="6"/>
      <c r="CS911" s="16"/>
    </row>
    <row r="912" spans="1:97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R912" s="6"/>
      <c r="CS912" s="16"/>
    </row>
    <row r="913" spans="1:97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R913" s="6"/>
      <c r="CS913" s="16"/>
    </row>
    <row r="914" spans="1:97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R914" s="6"/>
      <c r="CS914" s="16"/>
    </row>
    <row r="915" spans="1:97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R915" s="6"/>
      <c r="CS915" s="16"/>
    </row>
    <row r="916" spans="1:97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R916" s="6"/>
      <c r="CS916" s="16"/>
    </row>
    <row r="917" spans="1:97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R917" s="6"/>
      <c r="CS917" s="16"/>
    </row>
    <row r="918" spans="1:97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R918" s="6"/>
      <c r="CS918" s="16"/>
    </row>
    <row r="919" spans="1:97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R919" s="6"/>
      <c r="CS919" s="16"/>
    </row>
    <row r="920" spans="1:97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R920" s="6"/>
      <c r="CS920" s="16"/>
    </row>
    <row r="921" spans="1:97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R921" s="6"/>
      <c r="CS921" s="16"/>
    </row>
    <row r="922" spans="1:97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R922" s="6"/>
      <c r="CS922" s="16"/>
    </row>
    <row r="923" spans="1:97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R923" s="6"/>
      <c r="CS923" s="16"/>
    </row>
    <row r="924" spans="1:97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R924" s="6"/>
      <c r="CS924" s="16"/>
    </row>
    <row r="925" spans="1:97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R925" s="6"/>
      <c r="CS925" s="16"/>
    </row>
    <row r="926" spans="1:97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R926" s="6"/>
      <c r="CS926" s="16"/>
    </row>
    <row r="927" spans="1:97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R927" s="6"/>
      <c r="CS927" s="16"/>
    </row>
    <row r="928" spans="1:97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R928" s="6"/>
      <c r="CS928" s="16"/>
    </row>
    <row r="929" spans="1:97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R929" s="6"/>
      <c r="CS929" s="16"/>
    </row>
    <row r="930" spans="1:97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R930" s="6"/>
      <c r="CS930" s="16"/>
    </row>
    <row r="931" spans="1:97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R931" s="6"/>
      <c r="CS931" s="16"/>
    </row>
    <row r="932" spans="1:97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R932" s="6"/>
      <c r="CS932" s="16"/>
    </row>
    <row r="933" spans="1:97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R933" s="6"/>
      <c r="CS933" s="16"/>
    </row>
    <row r="934" spans="1:97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R934" s="6"/>
      <c r="CS934" s="16"/>
    </row>
    <row r="935" spans="1:97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R935" s="6"/>
      <c r="CS935" s="16"/>
    </row>
    <row r="936" spans="1:97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R936" s="6"/>
      <c r="CS936" s="16"/>
    </row>
    <row r="937" spans="1:97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R937" s="6"/>
      <c r="CS937" s="16"/>
    </row>
    <row r="938" spans="1:97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R938" s="6"/>
      <c r="CS938" s="16"/>
    </row>
    <row r="939" spans="1:97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R939" s="6"/>
      <c r="CS939" s="16"/>
    </row>
    <row r="940" spans="1:97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R940" s="6"/>
      <c r="CS940" s="16"/>
    </row>
    <row r="941" spans="1:97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R941" s="6"/>
      <c r="CS941" s="16"/>
    </row>
    <row r="942" spans="1:97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R942" s="6"/>
      <c r="CS942" s="16"/>
    </row>
    <row r="943" spans="1:97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R943" s="6"/>
      <c r="CS943" s="16"/>
    </row>
    <row r="944" spans="1:97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R944" s="6"/>
      <c r="CS944" s="16"/>
    </row>
    <row r="945" spans="1:97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R945" s="6"/>
      <c r="CS945" s="16"/>
    </row>
    <row r="946" spans="1:97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R946" s="6"/>
      <c r="CS946" s="16"/>
    </row>
    <row r="947" spans="1:97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R947" s="6"/>
      <c r="CS947" s="16"/>
    </row>
    <row r="948" spans="1:97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R948" s="6"/>
      <c r="CS948" s="16"/>
    </row>
    <row r="949" spans="1:97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R949" s="6"/>
      <c r="CS949" s="16"/>
    </row>
    <row r="950" spans="1:97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R950" s="6"/>
      <c r="CS950" s="16"/>
    </row>
    <row r="951" spans="1:97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R951" s="6"/>
      <c r="CS951" s="16"/>
    </row>
    <row r="952" spans="1:97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R952" s="6"/>
      <c r="CS952" s="16"/>
    </row>
    <row r="953" spans="1:97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R953" s="6"/>
      <c r="CS953" s="16"/>
    </row>
    <row r="954" spans="1:97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R954" s="6"/>
      <c r="CS954" s="16"/>
    </row>
    <row r="955" spans="1:97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R955" s="6"/>
      <c r="CS955" s="16"/>
    </row>
    <row r="956" spans="1:97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R956" s="6"/>
      <c r="CS956" s="16"/>
    </row>
    <row r="957" spans="1:97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R957" s="6"/>
      <c r="CS957" s="16"/>
    </row>
    <row r="958" spans="1:97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R958" s="6"/>
      <c r="CS958" s="16"/>
    </row>
    <row r="959" spans="1:97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R959" s="6"/>
      <c r="CS959" s="16"/>
    </row>
    <row r="960" spans="1:97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R960" s="6"/>
      <c r="CS960" s="16"/>
    </row>
    <row r="961" spans="1:97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R961" s="6"/>
      <c r="CS961" s="16"/>
    </row>
    <row r="962" spans="1:97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R962" s="6"/>
      <c r="CS962" s="16"/>
    </row>
    <row r="963" spans="1:97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R963" s="6"/>
      <c r="CS963" s="16"/>
    </row>
    <row r="964" spans="1:97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R964" s="6"/>
      <c r="CS964" s="16"/>
    </row>
    <row r="965" spans="1:97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R965" s="6"/>
      <c r="CS965" s="16"/>
    </row>
    <row r="966" spans="1:97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R966" s="6"/>
      <c r="CS966" s="16"/>
    </row>
    <row r="967" spans="1:97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R967" s="6"/>
      <c r="CS967" s="16"/>
    </row>
    <row r="968" spans="1:97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R968" s="6"/>
      <c r="CS968" s="16"/>
    </row>
    <row r="969" spans="1:97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R969" s="6"/>
      <c r="CS969" s="16"/>
    </row>
    <row r="970" spans="1:97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R970" s="6"/>
      <c r="CS970" s="16"/>
    </row>
    <row r="971" spans="1:97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R971" s="6"/>
      <c r="CS971" s="16"/>
    </row>
    <row r="972" spans="1:97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R972" s="6"/>
      <c r="CS972" s="16"/>
    </row>
    <row r="973" spans="1:97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R973" s="6"/>
      <c r="CS973" s="16"/>
    </row>
    <row r="974" spans="1:97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R974" s="6"/>
      <c r="CS974" s="16"/>
    </row>
    <row r="975" spans="1:97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R975" s="6"/>
      <c r="CS975" s="16"/>
    </row>
    <row r="976" spans="1:97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R976" s="6"/>
      <c r="CS976" s="16"/>
    </row>
    <row r="977" spans="1:97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R977" s="6"/>
      <c r="CS977" s="16"/>
    </row>
    <row r="978" spans="1:97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R978" s="6"/>
      <c r="CS978" s="16"/>
    </row>
    <row r="979" spans="1:97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R979" s="6"/>
      <c r="CS979" s="16"/>
    </row>
    <row r="980" spans="1:97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R980" s="6"/>
      <c r="CS980" s="16"/>
    </row>
    <row r="981" spans="1:97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R981" s="6"/>
      <c r="CS981" s="16"/>
    </row>
    <row r="982" spans="1:97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R982" s="6"/>
      <c r="CS982" s="16"/>
    </row>
    <row r="983" spans="1:97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R983" s="6"/>
      <c r="CS983" s="16"/>
    </row>
    <row r="984" spans="1:97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R984" s="6"/>
      <c r="CS984" s="16"/>
    </row>
    <row r="985" spans="1:97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R985" s="6"/>
      <c r="CS985" s="16"/>
    </row>
    <row r="986" spans="1:97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R986" s="6"/>
      <c r="CS986" s="16"/>
    </row>
    <row r="987" spans="1:97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R987" s="6"/>
      <c r="CS987" s="16"/>
    </row>
    <row r="988" spans="1:97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R988" s="6"/>
      <c r="CS988" s="16"/>
    </row>
    <row r="989" spans="1:97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R989" s="6"/>
      <c r="CS989" s="16"/>
    </row>
    <row r="990" spans="1:97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R990" s="6"/>
      <c r="CS990" s="16"/>
    </row>
    <row r="991" spans="1:97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R991" s="6"/>
      <c r="CS991" s="16"/>
    </row>
    <row r="992" spans="1:97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R992" s="6"/>
      <c r="CS992" s="16"/>
    </row>
    <row r="993" spans="1:97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R993" s="6"/>
      <c r="CS993" s="16"/>
    </row>
    <row r="994" spans="1:97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R994" s="6"/>
      <c r="CS994" s="16"/>
    </row>
    <row r="995" spans="1:97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R995" s="6"/>
      <c r="CS995" s="16"/>
    </row>
    <row r="996" spans="1:97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R996" s="6"/>
      <c r="CS996" s="16"/>
    </row>
    <row r="997" spans="1:97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R997" s="6"/>
      <c r="CS997" s="16"/>
    </row>
    <row r="998" spans="1:97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R998" s="6"/>
      <c r="CS998" s="16"/>
    </row>
    <row r="999" spans="1:97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R999" s="6"/>
      <c r="CS999" s="16"/>
    </row>
    <row r="1000" spans="1:97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R1000" s="6"/>
      <c r="CS1000" s="16"/>
    </row>
    <row r="1001" spans="1:97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R1001" s="6"/>
      <c r="CS1001" s="16"/>
    </row>
    <row r="1002" spans="1:97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R1002" s="6"/>
      <c r="CS1002" s="16"/>
    </row>
    <row r="1003" spans="1:97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R1003" s="6"/>
      <c r="CS1003" s="16"/>
    </row>
    <row r="1004" spans="1:97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R1004" s="6"/>
      <c r="CS1004" s="16"/>
    </row>
    <row r="1005" spans="1:97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R1005" s="6"/>
      <c r="CS1005" s="16"/>
    </row>
    <row r="1006" spans="1:97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R1006" s="6"/>
      <c r="CS1006" s="16"/>
    </row>
    <row r="1007" spans="1:97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R1007" s="6"/>
      <c r="CS1007" s="16"/>
    </row>
  </sheetData>
  <hyperlinks>
    <hyperlink ref="B9" r:id="rId1" xr:uid="{00000000-0004-0000-0100-000002000000}"/>
    <hyperlink ref="F9" r:id="rId2" xr:uid="{00000000-0004-0000-0100-000003000000}"/>
    <hyperlink ref="J9" r:id="rId3" xr:uid="{00000000-0004-0000-0100-000004000000}"/>
    <hyperlink ref="CG9" r:id="rId4" xr:uid="{00000000-0004-0000-0100-000005000000}"/>
    <hyperlink ref="CK9" r:id="rId5" display="https://edisonintl.sharepoint.com/teams/Public/TM2/Shared Documents/Forms/AllItems.aspx?viewid=c9868ae1%2Df1cd%2D43b6%2Da712%2Dd734ff79e266&amp;ga=1&amp;id=%2Fteams%2FPublic%2FTM2%2FShared%20Documents%2FPublic%2FRegulatory%2FTariff%2DSCE%20Tariff%20Books%2FElectric%2FSchedules%2FGeneral%20Service%20%26%20Industrial%20Rates%2FELECTRIC%5FSCHEDULES%5FTOU%2DEV%2D8%2Epdf&amp;parent=%2Fteams%2FPublic%2FTM2%2FShared%20Documents%2FPublic%2FRegulatory%2FTariff%2DSCE%20Tariff%20Books%2FElectric%2FSchedules%2FGeneral%20Service%20%26%20Industrial%20Rates" xr:uid="{00000000-0004-0000-0100-000007000000}"/>
    <hyperlink ref="CT2" r:id="rId6" xr:uid="{00000000-0004-0000-0100-000008000000}"/>
    <hyperlink ref="CT9" r:id="rId7" xr:uid="{00000000-0004-0000-0100-000009000000}"/>
    <hyperlink ref="CY9" r:id="rId8" xr:uid="{00000000-0004-0000-0100-00000A000000}"/>
    <hyperlink ref="EO2" r:id="rId9" xr:uid="{00000000-0004-0000-0100-00000B000000}"/>
    <hyperlink ref="CG8" r:id="rId10" xr:uid="{6CAF564E-0780-F344-8E8B-3EC791812845}"/>
    <hyperlink ref="CO9" r:id="rId11" xr:uid="{020C10F3-7A30-B04E-9A07-99E2B3E0AE59}"/>
    <hyperlink ref="V9" r:id="rId12" xr:uid="{C7AE55B0-AD3D-B24B-828A-CC82EF2C0B3D}"/>
    <hyperlink ref="AA9" r:id="rId13" xr:uid="{4389D37C-CBEB-3E4D-A020-E6661F18EAC9}"/>
    <hyperlink ref="AE9" r:id="rId14" xr:uid="{6A280AEF-3C27-C542-9862-3DB934047AF1}"/>
    <hyperlink ref="AQ9" r:id="rId15" display="TOU-GS-2 Option E: Time-of-Use General Service Demand Metered" xr:uid="{E8F55EF0-E6A6-6449-93D7-D86F5F55BC1B}"/>
    <hyperlink ref="AV9" r:id="rId16" display="TOU-GS-2 Option D: Time-of-Use General Service Demand Metered" xr:uid="{E6F5C380-85F1-B847-86F1-FB1C49871690}"/>
    <hyperlink ref="AZ9" r:id="rId17" display="TOU-GS-2-RTP: General Service, Medium, Real-Time Pricing" xr:uid="{3DA085DA-407B-5349-AFCC-6BEB239B3CCE}"/>
    <hyperlink ref="BL9" r:id="rId18" display="TOU-8 Option E: Time-of-Use General Service  Large" xr:uid="{D4FD00E1-E2F7-C049-B286-B1BE70E657E3}"/>
    <hyperlink ref="BU9" r:id="rId19" xr:uid="{1551CF94-859D-CF41-A57B-AE6AA499A194}"/>
    <hyperlink ref="BQ9" r:id="rId20" xr:uid="{F09E265A-738F-A642-A1C1-86CC95266208}"/>
    <hyperlink ref="DD9" r:id="rId21" xr:uid="{769BC385-C708-3E47-A3FE-3043814DEED2}"/>
    <hyperlink ref="DH9" r:id="rId22" xr:uid="{CEB6100B-39E7-164B-9164-448D9242A741}"/>
    <hyperlink ref="DM9" r:id="rId23" xr:uid="{5720B7DE-D4FA-D74F-9BC0-4871E95FEEB9}"/>
    <hyperlink ref="DQ9" r:id="rId24" xr:uid="{FADD4DB3-D11E-C04B-9BD7-CB976032D015}"/>
    <hyperlink ref="DV9" r:id="rId25" xr:uid="{0D2E113E-07B8-A840-B2FD-9CDDAD485F8D}"/>
    <hyperlink ref="EF9" r:id="rId26" xr:uid="{3ED95121-1471-B246-A9F3-D0D4BC82244F}"/>
    <hyperlink ref="EA9" r:id="rId27" display="B-19: Medium General Demand-Metered TOU Service" xr:uid="{6913117D-8751-EC49-B24F-C6640F1D8801}"/>
    <hyperlink ref="EK9" r:id="rId28" display="B-20: Service to Customers with Maximum Demands of 1000 KiloWatts or More" xr:uid="{968EE243-2913-2743-A831-3C9700D4ACE3}"/>
    <hyperlink ref="FD9" r:id="rId29" xr:uid="{4B71E067-D661-DB45-83EC-B716438AB0A5}"/>
    <hyperlink ref="EO9" r:id="rId30" xr:uid="{3F993703-B655-134E-BAB4-CEF6394ED39E}"/>
    <hyperlink ref="EP9" r:id="rId31" xr:uid="{664289F2-F706-6541-8D42-DD8F2FB78825}"/>
    <hyperlink ref="EO3" r:id="rId32" xr:uid="{534D7A25-14C1-A542-AF03-A94194FBA5DE}"/>
    <hyperlink ref="ET9" r:id="rId33" xr:uid="{8B96B6C2-3464-ED49-AA5E-2D6367464E58}"/>
    <hyperlink ref="EY9" r:id="rId34" xr:uid="{19939801-2557-3149-9385-9D9D7684E079}"/>
  </hyperlinks>
  <pageMargins left="0.7" right="0.7" top="0.75" bottom="0.75" header="0.3" footer="0.3"/>
  <pageSetup orientation="portrait" horizontalDpi="0" verticalDpi="0"/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7C06-7605-E14B-AA71-45DE1E2BF8A2}">
  <dimension ref="A1:AP1007"/>
  <sheetViews>
    <sheetView zoomScale="150" workbookViewId="0">
      <selection activeCell="AO18" sqref="AO18"/>
    </sheetView>
  </sheetViews>
  <sheetFormatPr baseColWidth="10" defaultRowHeight="16" x14ac:dyDescent="0.2"/>
  <sheetData>
    <row r="1" spans="1:41" x14ac:dyDescent="0.2">
      <c r="A1" s="5" t="s">
        <v>28</v>
      </c>
      <c r="B1" s="6">
        <v>0.25</v>
      </c>
      <c r="C1" s="6"/>
      <c r="D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1" x14ac:dyDescent="0.2">
      <c r="A2" s="5" t="s">
        <v>29</v>
      </c>
      <c r="B2" s="6"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4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41" x14ac:dyDescent="0.2">
      <c r="A4" s="5" t="s">
        <v>30</v>
      </c>
      <c r="B4" s="6" t="s">
        <v>31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D4" s="5" t="s">
        <v>30</v>
      </c>
      <c r="AE4" s="6" t="s">
        <v>61</v>
      </c>
      <c r="AM4" s="5" t="s">
        <v>30</v>
      </c>
      <c r="AN4" s="6" t="s">
        <v>68</v>
      </c>
    </row>
    <row r="5" spans="1:41" x14ac:dyDescent="0.2">
      <c r="A5" s="5" t="s">
        <v>32</v>
      </c>
      <c r="B5" s="1" t="s">
        <v>33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10" t="s">
        <v>32</v>
      </c>
      <c r="AE5" s="1" t="s">
        <v>60</v>
      </c>
      <c r="AM5" s="10" t="s">
        <v>32</v>
      </c>
      <c r="AN5" s="1" t="s">
        <v>69</v>
      </c>
    </row>
    <row r="6" spans="1:4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41" x14ac:dyDescent="0.2">
      <c r="A8" s="7" t="s">
        <v>34</v>
      </c>
      <c r="B8" s="6"/>
      <c r="C8" s="6"/>
      <c r="D8" s="6"/>
      <c r="E8" s="7" t="s">
        <v>35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41" x14ac:dyDescent="0.2">
      <c r="A9" s="5" t="s">
        <v>36</v>
      </c>
      <c r="B9" s="1" t="s">
        <v>37</v>
      </c>
      <c r="C9" s="6"/>
      <c r="D9" s="6"/>
      <c r="E9" s="5" t="s">
        <v>36</v>
      </c>
      <c r="F9" s="1" t="s">
        <v>38</v>
      </c>
      <c r="G9" s="6"/>
      <c r="H9" s="6"/>
      <c r="I9" s="5" t="s">
        <v>36</v>
      </c>
      <c r="J9" s="1" t="s">
        <v>39</v>
      </c>
      <c r="K9" s="6"/>
      <c r="L9" s="6"/>
      <c r="M9" s="5" t="s">
        <v>36</v>
      </c>
      <c r="N9" s="1" t="s">
        <v>40</v>
      </c>
      <c r="O9" s="6"/>
      <c r="P9" s="6"/>
      <c r="Q9" s="5" t="s">
        <v>36</v>
      </c>
      <c r="R9" s="1" t="s">
        <v>41</v>
      </c>
      <c r="S9" s="6"/>
      <c r="T9" s="6"/>
      <c r="U9" s="5" t="s">
        <v>36</v>
      </c>
      <c r="V9" s="1" t="s">
        <v>42</v>
      </c>
      <c r="W9" s="6"/>
      <c r="X9" s="6"/>
      <c r="Y9" s="5" t="s">
        <v>36</v>
      </c>
      <c r="Z9" s="9" t="s">
        <v>59</v>
      </c>
      <c r="AA9" s="6"/>
      <c r="AB9" s="6"/>
      <c r="AC9" s="5"/>
      <c r="AD9" s="5" t="s">
        <v>36</v>
      </c>
      <c r="AE9" s="9" t="s">
        <v>62</v>
      </c>
      <c r="AF9" s="6"/>
      <c r="AH9" s="5" t="s">
        <v>36</v>
      </c>
      <c r="AI9" s="9" t="s">
        <v>67</v>
      </c>
      <c r="AJ9" s="6"/>
      <c r="AM9" s="5" t="s">
        <v>36</v>
      </c>
      <c r="AN9" s="9" t="s">
        <v>71</v>
      </c>
      <c r="AO9" s="6"/>
    </row>
    <row r="10" spans="1:41" x14ac:dyDescent="0.2">
      <c r="A10" s="5" t="s">
        <v>43</v>
      </c>
      <c r="B10" s="8">
        <v>44105</v>
      </c>
      <c r="C10" s="6"/>
      <c r="D10" s="6"/>
      <c r="E10" s="5" t="s">
        <v>43</v>
      </c>
      <c r="F10" s="8">
        <v>44105</v>
      </c>
      <c r="G10" s="6"/>
      <c r="H10" s="6"/>
      <c r="I10" s="5" t="s">
        <v>43</v>
      </c>
      <c r="J10" s="8">
        <v>44105</v>
      </c>
      <c r="K10" s="6"/>
      <c r="L10" s="6"/>
      <c r="M10" s="5" t="s">
        <v>43</v>
      </c>
      <c r="N10" s="8">
        <v>44105</v>
      </c>
      <c r="O10" s="6"/>
      <c r="P10" s="6"/>
      <c r="Q10" s="5" t="s">
        <v>43</v>
      </c>
      <c r="R10" s="8">
        <v>44105</v>
      </c>
      <c r="S10" s="6"/>
      <c r="T10" s="6"/>
      <c r="U10" s="5" t="s">
        <v>43</v>
      </c>
      <c r="V10" s="8">
        <v>44105</v>
      </c>
      <c r="W10" s="6"/>
      <c r="X10" s="6"/>
      <c r="Y10" s="5" t="s">
        <v>43</v>
      </c>
      <c r="Z10" s="8">
        <v>43525</v>
      </c>
      <c r="AA10" s="6"/>
      <c r="AB10" s="6"/>
      <c r="AC10" s="5"/>
      <c r="AD10" s="5" t="s">
        <v>43</v>
      </c>
      <c r="AE10" s="8">
        <v>44256</v>
      </c>
      <c r="AF10" s="6"/>
      <c r="AH10" s="5" t="s">
        <v>43</v>
      </c>
      <c r="AI10" s="8">
        <v>44256</v>
      </c>
      <c r="AJ10" s="6"/>
      <c r="AM10" s="5" t="s">
        <v>43</v>
      </c>
      <c r="AN10" s="8">
        <v>44256</v>
      </c>
      <c r="AO10" s="6"/>
    </row>
    <row r="11" spans="1:41" x14ac:dyDescent="0.2">
      <c r="A11" s="5" t="s">
        <v>44</v>
      </c>
      <c r="B11" s="6" t="s">
        <v>45</v>
      </c>
      <c r="C11" s="6"/>
      <c r="D11" s="6"/>
      <c r="E11" s="5" t="s">
        <v>44</v>
      </c>
      <c r="F11" s="6" t="s">
        <v>45</v>
      </c>
      <c r="G11" s="6"/>
      <c r="H11" s="6"/>
      <c r="I11" s="5" t="s">
        <v>44</v>
      </c>
      <c r="J11" s="6" t="s">
        <v>45</v>
      </c>
      <c r="K11" s="6"/>
      <c r="L11" s="6"/>
      <c r="M11" s="5" t="s">
        <v>44</v>
      </c>
      <c r="N11" s="6" t="s">
        <v>45</v>
      </c>
      <c r="O11" s="6"/>
      <c r="P11" s="6"/>
      <c r="Q11" s="5" t="s">
        <v>44</v>
      </c>
      <c r="R11" s="6" t="s">
        <v>45</v>
      </c>
      <c r="S11" s="6"/>
      <c r="T11" s="6"/>
      <c r="U11" s="5" t="s">
        <v>44</v>
      </c>
      <c r="V11" s="6" t="s">
        <v>45</v>
      </c>
      <c r="W11" s="6"/>
      <c r="X11" s="6"/>
      <c r="Y11" s="5" t="s">
        <v>44</v>
      </c>
      <c r="Z11" s="6" t="s">
        <v>45</v>
      </c>
      <c r="AA11" s="6"/>
      <c r="AB11" s="6"/>
      <c r="AC11" s="5"/>
      <c r="AD11" s="5" t="s">
        <v>44</v>
      </c>
      <c r="AE11" s="6" t="s">
        <v>45</v>
      </c>
      <c r="AF11" s="6"/>
      <c r="AH11" s="5" t="s">
        <v>44</v>
      </c>
      <c r="AI11" s="6" t="s">
        <v>45</v>
      </c>
      <c r="AJ11" s="6"/>
      <c r="AM11" s="5" t="s">
        <v>44</v>
      </c>
      <c r="AN11" s="6" t="s">
        <v>45</v>
      </c>
      <c r="AO11" s="6"/>
    </row>
    <row r="12" spans="1:41" x14ac:dyDescent="0.2">
      <c r="A12" s="5" t="s">
        <v>46</v>
      </c>
      <c r="B12" s="6" t="s">
        <v>47</v>
      </c>
      <c r="C12" s="6"/>
      <c r="D12" s="6"/>
      <c r="E12" s="5" t="s">
        <v>46</v>
      </c>
      <c r="F12" s="6" t="s">
        <v>47</v>
      </c>
      <c r="G12" s="6"/>
      <c r="H12" s="6"/>
      <c r="I12" s="5" t="s">
        <v>46</v>
      </c>
      <c r="J12" s="6" t="s">
        <v>47</v>
      </c>
      <c r="K12" s="6"/>
      <c r="L12" s="6"/>
      <c r="M12" s="5" t="s">
        <v>46</v>
      </c>
      <c r="N12" s="6" t="s">
        <v>47</v>
      </c>
      <c r="O12" s="6"/>
      <c r="P12" s="6"/>
      <c r="Q12" s="5" t="s">
        <v>46</v>
      </c>
      <c r="R12" s="6" t="s">
        <v>47</v>
      </c>
      <c r="S12" s="6"/>
      <c r="T12" s="6"/>
      <c r="U12" s="5" t="s">
        <v>46</v>
      </c>
      <c r="V12" s="6" t="s">
        <v>47</v>
      </c>
      <c r="W12" s="6"/>
      <c r="X12" s="6"/>
      <c r="Y12" s="5" t="s">
        <v>46</v>
      </c>
      <c r="Z12" s="6" t="s">
        <v>58</v>
      </c>
      <c r="AA12" s="6"/>
      <c r="AB12" s="6"/>
      <c r="AC12" s="5"/>
      <c r="AD12" s="5" t="s">
        <v>46</v>
      </c>
      <c r="AE12" s="6" t="s">
        <v>63</v>
      </c>
      <c r="AF12" s="6"/>
      <c r="AH12" s="5" t="s">
        <v>46</v>
      </c>
      <c r="AI12" s="6" t="s">
        <v>66</v>
      </c>
      <c r="AJ12" s="6"/>
      <c r="AM12" s="5" t="s">
        <v>46</v>
      </c>
      <c r="AN12" s="6" t="s">
        <v>70</v>
      </c>
      <c r="AO12" s="6"/>
    </row>
    <row r="13" spans="1:4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H13" s="6"/>
      <c r="AI13" s="6"/>
      <c r="AJ13" s="6"/>
      <c r="AM13" s="6"/>
      <c r="AN13" s="6"/>
      <c r="AO13" s="6"/>
    </row>
    <row r="14" spans="1:41" x14ac:dyDescent="0.2">
      <c r="A14" s="5" t="s">
        <v>48</v>
      </c>
      <c r="B14" s="5" t="s">
        <v>49</v>
      </c>
      <c r="C14" s="5" t="s">
        <v>50</v>
      </c>
      <c r="D14" s="6"/>
      <c r="E14" s="5" t="s">
        <v>48</v>
      </c>
      <c r="F14" s="5" t="s">
        <v>49</v>
      </c>
      <c r="G14" s="5" t="s">
        <v>51</v>
      </c>
      <c r="H14" s="6"/>
      <c r="I14" s="5" t="s">
        <v>48</v>
      </c>
      <c r="J14" s="5" t="s">
        <v>49</v>
      </c>
      <c r="K14" s="5" t="s">
        <v>51</v>
      </c>
      <c r="L14" s="6"/>
      <c r="M14" s="5" t="s">
        <v>48</v>
      </c>
      <c r="N14" s="5" t="s">
        <v>49</v>
      </c>
      <c r="O14" s="5" t="s">
        <v>52</v>
      </c>
      <c r="P14" s="6"/>
      <c r="Q14" s="5" t="s">
        <v>48</v>
      </c>
      <c r="R14" s="5" t="s">
        <v>49</v>
      </c>
      <c r="S14" s="5" t="s">
        <v>51</v>
      </c>
      <c r="T14" s="6"/>
      <c r="U14" s="5" t="s">
        <v>48</v>
      </c>
      <c r="V14" s="5" t="s">
        <v>49</v>
      </c>
      <c r="W14" s="5" t="s">
        <v>51</v>
      </c>
      <c r="X14" s="6"/>
      <c r="Y14" s="5" t="s">
        <v>48</v>
      </c>
      <c r="Z14" s="5" t="s">
        <v>49</v>
      </c>
      <c r="AA14" s="5" t="s">
        <v>51</v>
      </c>
      <c r="AB14" s="6"/>
      <c r="AC14" s="5"/>
      <c r="AD14" s="5" t="s">
        <v>48</v>
      </c>
      <c r="AE14" s="5" t="s">
        <v>49</v>
      </c>
      <c r="AF14" s="5" t="s">
        <v>64</v>
      </c>
      <c r="AH14" s="5" t="s">
        <v>48</v>
      </c>
      <c r="AI14" s="5" t="s">
        <v>49</v>
      </c>
      <c r="AJ14" s="5" t="s">
        <v>64</v>
      </c>
      <c r="AM14" s="5" t="s">
        <v>48</v>
      </c>
      <c r="AN14" s="5" t="s">
        <v>49</v>
      </c>
      <c r="AO14" s="5" t="s">
        <v>51</v>
      </c>
    </row>
    <row r="15" spans="1:41" x14ac:dyDescent="0.2">
      <c r="A15" s="6">
        <v>0</v>
      </c>
      <c r="B15" s="6">
        <v>0</v>
      </c>
      <c r="C15" s="6">
        <v>0.22255</v>
      </c>
      <c r="D15" s="6"/>
      <c r="E15" s="6">
        <v>0</v>
      </c>
      <c r="F15" s="6">
        <v>0</v>
      </c>
      <c r="G15" s="6">
        <v>0.16835</v>
      </c>
      <c r="H15" s="6"/>
      <c r="I15" s="6">
        <v>0</v>
      </c>
      <c r="J15" s="6">
        <v>0</v>
      </c>
      <c r="K15" s="6">
        <v>9.5409999999999995E-2</v>
      </c>
      <c r="L15" s="6"/>
      <c r="M15" s="6">
        <v>0</v>
      </c>
      <c r="N15" s="6">
        <v>0</v>
      </c>
      <c r="O15" s="6">
        <v>0.10671</v>
      </c>
      <c r="P15" s="6"/>
      <c r="Q15" s="6">
        <v>0</v>
      </c>
      <c r="R15" s="6">
        <v>0</v>
      </c>
      <c r="S15" s="6">
        <v>0.16089999999999999</v>
      </c>
      <c r="T15" s="6"/>
      <c r="U15" s="6">
        <v>0</v>
      </c>
      <c r="V15" s="6">
        <v>0</v>
      </c>
      <c r="W15" s="6">
        <v>9.5409999999999995E-2</v>
      </c>
      <c r="X15" s="6"/>
      <c r="Y15" s="6">
        <v>0</v>
      </c>
      <c r="Z15" s="6">
        <v>0</v>
      </c>
      <c r="AA15" s="6">
        <f xml:space="preserve"> 0.081+0.06705</f>
        <v>0.14805000000000001</v>
      </c>
      <c r="AB15" s="6"/>
      <c r="AC15" s="6"/>
      <c r="AD15" s="6">
        <v>0</v>
      </c>
      <c r="AE15" s="6">
        <f>AD15/$B$1</f>
        <v>0</v>
      </c>
      <c r="AF15" s="6">
        <v>0.13253999999999999</v>
      </c>
      <c r="AH15" s="6">
        <v>0</v>
      </c>
      <c r="AI15" s="6">
        <f>AH15/$B$1</f>
        <v>0</v>
      </c>
      <c r="AJ15" s="6">
        <v>0.12651000000000001</v>
      </c>
      <c r="AM15" s="6">
        <v>0</v>
      </c>
      <c r="AN15" s="6">
        <f>AM15/$B$1</f>
        <v>0</v>
      </c>
      <c r="AO15" s="6">
        <v>0.11</v>
      </c>
    </row>
    <row r="16" spans="1:41" x14ac:dyDescent="0.2">
      <c r="A16" s="6"/>
      <c r="B16" s="6"/>
      <c r="C16" s="6"/>
      <c r="D16" s="6"/>
      <c r="E16" s="6">
        <v>16</v>
      </c>
      <c r="F16" s="6">
        <v>64</v>
      </c>
      <c r="G16" s="6">
        <v>0.44944000000000001</v>
      </c>
      <c r="H16" s="6"/>
      <c r="I16" s="6">
        <v>16</v>
      </c>
      <c r="J16" s="6">
        <v>64</v>
      </c>
      <c r="K16" s="6">
        <v>0.15851999999999999</v>
      </c>
      <c r="L16" s="6"/>
      <c r="M16" s="6">
        <v>1</v>
      </c>
      <c r="N16" s="6">
        <v>4</v>
      </c>
      <c r="O16" s="6">
        <v>0.10682</v>
      </c>
      <c r="P16" s="6"/>
      <c r="Q16" s="6">
        <v>16</v>
      </c>
      <c r="R16" s="6">
        <v>64</v>
      </c>
      <c r="S16" s="6">
        <v>0.43872</v>
      </c>
      <c r="T16" s="6"/>
      <c r="U16" s="6">
        <v>16</v>
      </c>
      <c r="V16" s="6">
        <v>64</v>
      </c>
      <c r="W16" s="6">
        <v>0.15851999999999999</v>
      </c>
      <c r="X16" s="6"/>
      <c r="Y16" s="6">
        <v>16</v>
      </c>
      <c r="Z16" s="6">
        <v>64</v>
      </c>
      <c r="AA16" s="6">
        <f>0.23202+0.31966</f>
        <v>0.55167999999999995</v>
      </c>
      <c r="AB16" s="6"/>
      <c r="AC16" s="6"/>
      <c r="AD16" s="6">
        <v>9</v>
      </c>
      <c r="AE16" s="6">
        <f>AD16/$B$1</f>
        <v>36</v>
      </c>
      <c r="AF16" s="6">
        <v>0.10588</v>
      </c>
      <c r="AH16" s="6">
        <v>9</v>
      </c>
      <c r="AI16" s="6">
        <f>AH16/$B$1</f>
        <v>36</v>
      </c>
      <c r="AJ16" s="6">
        <v>0.10324</v>
      </c>
      <c r="AM16" s="6">
        <v>6</v>
      </c>
      <c r="AN16" s="6">
        <f>AM16/$B$1</f>
        <v>24</v>
      </c>
      <c r="AO16" s="6">
        <v>0.19</v>
      </c>
    </row>
    <row r="17" spans="1:42" x14ac:dyDescent="0.2">
      <c r="A17" s="5" t="s">
        <v>48</v>
      </c>
      <c r="B17" s="5" t="s">
        <v>49</v>
      </c>
      <c r="C17" s="5" t="s">
        <v>53</v>
      </c>
      <c r="D17" s="6"/>
      <c r="E17" s="6">
        <v>21</v>
      </c>
      <c r="F17" s="6">
        <v>84</v>
      </c>
      <c r="G17" s="6">
        <v>0.16835</v>
      </c>
      <c r="H17" s="6"/>
      <c r="I17" s="6">
        <v>21</v>
      </c>
      <c r="J17" s="6">
        <v>84</v>
      </c>
      <c r="K17" s="6">
        <v>9.5409999999999995E-2</v>
      </c>
      <c r="L17" s="6"/>
      <c r="M17" s="6">
        <v>2</v>
      </c>
      <c r="N17" s="6">
        <v>8</v>
      </c>
      <c r="O17" s="6">
        <v>0.1069</v>
      </c>
      <c r="P17" s="6"/>
      <c r="Q17" s="6">
        <v>21</v>
      </c>
      <c r="R17" s="6">
        <v>84</v>
      </c>
      <c r="S17" s="6">
        <v>0.16089999999999999</v>
      </c>
      <c r="T17" s="6"/>
      <c r="U17" s="6">
        <v>21</v>
      </c>
      <c r="V17" s="6">
        <v>84</v>
      </c>
      <c r="W17" s="6">
        <v>9.5409999999999995E-2</v>
      </c>
      <c r="X17" s="6"/>
      <c r="Y17" s="6">
        <v>21</v>
      </c>
      <c r="Z17" s="6">
        <v>84</v>
      </c>
      <c r="AA17" s="6">
        <f xml:space="preserve"> 0.081+0.06705</f>
        <v>0.14805000000000001</v>
      </c>
      <c r="AB17" s="6"/>
      <c r="AC17" s="6"/>
      <c r="AD17" s="6">
        <v>14</v>
      </c>
      <c r="AE17" s="6">
        <f>AD17/$B$1</f>
        <v>56</v>
      </c>
      <c r="AF17" s="6">
        <v>0.13253999999999999</v>
      </c>
      <c r="AH17" s="6">
        <v>14</v>
      </c>
      <c r="AI17" s="6">
        <f>AH17/$B$1</f>
        <v>56</v>
      </c>
      <c r="AJ17" s="6">
        <v>0.12651000000000001</v>
      </c>
      <c r="AM17" s="6">
        <v>16</v>
      </c>
      <c r="AN17" s="6">
        <f>AM17/$B$1</f>
        <v>64</v>
      </c>
      <c r="AO17" s="6">
        <v>0.39</v>
      </c>
    </row>
    <row r="18" spans="1:42" x14ac:dyDescent="0.2">
      <c r="A18" s="6">
        <v>0</v>
      </c>
      <c r="B18" s="6">
        <v>0</v>
      </c>
      <c r="C18" s="6">
        <v>0.17457</v>
      </c>
      <c r="D18" s="6"/>
      <c r="E18" s="6"/>
      <c r="F18" s="6"/>
      <c r="G18" s="6"/>
      <c r="H18" s="6"/>
      <c r="I18" s="6" t="s">
        <v>54</v>
      </c>
      <c r="J18" s="6" t="s">
        <v>55</v>
      </c>
      <c r="K18" s="6">
        <v>27.97</v>
      </c>
      <c r="L18" s="6">
        <v>0.93233333330000001</v>
      </c>
      <c r="M18" s="6">
        <v>3</v>
      </c>
      <c r="N18" s="6">
        <v>12</v>
      </c>
      <c r="O18" s="6">
        <v>0.10872</v>
      </c>
      <c r="P18" s="6"/>
      <c r="Q18" s="6"/>
      <c r="R18" s="6"/>
      <c r="S18" s="6"/>
      <c r="T18" s="6"/>
      <c r="U18" s="6" t="s">
        <v>54</v>
      </c>
      <c r="V18" s="6" t="s">
        <v>55</v>
      </c>
      <c r="W18" s="6">
        <v>27.97</v>
      </c>
      <c r="X18" s="6">
        <v>0.93233333330000001</v>
      </c>
      <c r="Y18" s="6"/>
      <c r="Z18" s="6"/>
      <c r="AA18" s="6"/>
      <c r="AB18" s="6"/>
      <c r="AC18" s="6"/>
      <c r="AD18" s="6">
        <v>16</v>
      </c>
      <c r="AE18" s="6">
        <f>AD18/$B$1</f>
        <v>64</v>
      </c>
      <c r="AF18" s="6">
        <v>0.32455000000000001</v>
      </c>
      <c r="AH18" s="6">
        <v>16</v>
      </c>
      <c r="AI18" s="6">
        <f>AH18/$B$1</f>
        <v>64</v>
      </c>
      <c r="AJ18" s="6">
        <v>0.33973999999999999</v>
      </c>
      <c r="AM18" s="6">
        <v>21</v>
      </c>
      <c r="AN18" s="6">
        <f>AM18/$B$1</f>
        <v>84</v>
      </c>
      <c r="AO18" s="6">
        <v>0.19</v>
      </c>
    </row>
    <row r="19" spans="1:42" x14ac:dyDescent="0.2">
      <c r="A19" s="6"/>
      <c r="B19" s="6"/>
      <c r="C19" s="6"/>
      <c r="D19" s="6"/>
      <c r="E19" s="5" t="s">
        <v>48</v>
      </c>
      <c r="F19" s="5" t="s">
        <v>49</v>
      </c>
      <c r="G19" s="5" t="s">
        <v>56</v>
      </c>
      <c r="H19" s="6"/>
      <c r="I19" s="6"/>
      <c r="J19" s="6"/>
      <c r="K19" s="6"/>
      <c r="L19" s="6"/>
      <c r="M19" s="6">
        <v>4</v>
      </c>
      <c r="N19" s="6">
        <v>16</v>
      </c>
      <c r="O19" s="6">
        <v>0.11311</v>
      </c>
      <c r="P19" s="6"/>
      <c r="Q19" s="5" t="s">
        <v>48</v>
      </c>
      <c r="R19" s="5" t="s">
        <v>49</v>
      </c>
      <c r="S19" s="5" t="s">
        <v>56</v>
      </c>
      <c r="T19" s="6"/>
      <c r="U19" s="6"/>
      <c r="V19" s="6"/>
      <c r="W19" s="6"/>
      <c r="X19" s="6"/>
      <c r="Y19" s="5" t="s">
        <v>48</v>
      </c>
      <c r="Z19" s="5" t="s">
        <v>49</v>
      </c>
      <c r="AA19" s="5" t="s">
        <v>56</v>
      </c>
      <c r="AB19" s="6"/>
      <c r="AC19" s="6"/>
      <c r="AD19" s="6">
        <v>21</v>
      </c>
      <c r="AE19" s="6">
        <f>AD19/$B$1</f>
        <v>84</v>
      </c>
      <c r="AF19" s="6">
        <v>0.13253999999999999</v>
      </c>
      <c r="AH19" s="6">
        <v>21</v>
      </c>
      <c r="AI19" s="6">
        <f>AH19/$B$1</f>
        <v>84</v>
      </c>
      <c r="AJ19" s="6">
        <v>0.12651000000000001</v>
      </c>
      <c r="AM19" s="6"/>
      <c r="AN19" s="6"/>
      <c r="AP19" s="6"/>
    </row>
    <row r="20" spans="1:42" x14ac:dyDescent="0.2">
      <c r="A20" s="6"/>
      <c r="B20" s="6"/>
      <c r="C20" s="6"/>
      <c r="D20" s="6"/>
      <c r="E20" s="6">
        <v>0</v>
      </c>
      <c r="F20" s="6">
        <v>0</v>
      </c>
      <c r="G20" s="6">
        <v>0.15834000000000001</v>
      </c>
      <c r="H20" s="6"/>
      <c r="I20" s="5" t="s">
        <v>48</v>
      </c>
      <c r="J20" s="5" t="s">
        <v>49</v>
      </c>
      <c r="K20" s="5" t="s">
        <v>56</v>
      </c>
      <c r="L20" s="6"/>
      <c r="M20" s="6">
        <v>5</v>
      </c>
      <c r="N20" s="6">
        <v>20</v>
      </c>
      <c r="O20" s="6">
        <v>0.11945</v>
      </c>
      <c r="P20" s="6"/>
      <c r="Q20" s="6">
        <v>0</v>
      </c>
      <c r="R20" s="6">
        <v>0</v>
      </c>
      <c r="S20" s="6">
        <v>0.15282000000000001</v>
      </c>
      <c r="T20" s="6"/>
      <c r="U20" s="5" t="s">
        <v>48</v>
      </c>
      <c r="V20" s="5" t="s">
        <v>49</v>
      </c>
      <c r="W20" s="5" t="s">
        <v>56</v>
      </c>
      <c r="X20" s="6"/>
      <c r="Y20" s="6">
        <v>0</v>
      </c>
      <c r="Z20" s="6">
        <v>0</v>
      </c>
      <c r="AA20" s="6">
        <f xml:space="preserve"> 0.081+0.07674</f>
        <v>0.15773999999999999</v>
      </c>
      <c r="AB20" s="6"/>
      <c r="AC20" s="5"/>
      <c r="AD20" s="6" t="s">
        <v>54</v>
      </c>
      <c r="AE20" s="6" t="s">
        <v>65</v>
      </c>
      <c r="AF20" s="6">
        <v>1.24</v>
      </c>
      <c r="AG20" s="6">
        <f>AF20/30</f>
        <v>4.1333333333333333E-2</v>
      </c>
      <c r="AH20" s="6" t="s">
        <v>54</v>
      </c>
      <c r="AI20" s="6" t="s">
        <v>65</v>
      </c>
      <c r="AJ20" s="6">
        <v>1.91</v>
      </c>
      <c r="AK20" s="6">
        <f>AJ20/30</f>
        <v>6.3666666666666663E-2</v>
      </c>
      <c r="AM20" s="6"/>
      <c r="AN20" s="6"/>
      <c r="AP20" s="6"/>
    </row>
    <row r="21" spans="1:42" x14ac:dyDescent="0.2">
      <c r="A21" s="6"/>
      <c r="B21" s="6"/>
      <c r="C21" s="6"/>
      <c r="D21" s="6"/>
      <c r="E21" s="6">
        <v>8</v>
      </c>
      <c r="F21" s="6">
        <v>32</v>
      </c>
      <c r="G21" s="6">
        <v>0.12656999999999999</v>
      </c>
      <c r="H21" s="6"/>
      <c r="I21" s="6">
        <v>0</v>
      </c>
      <c r="J21" s="6">
        <v>0</v>
      </c>
      <c r="K21" s="6">
        <v>0.10362</v>
      </c>
      <c r="L21" s="6"/>
      <c r="M21" s="6">
        <v>6</v>
      </c>
      <c r="N21" s="6">
        <v>24</v>
      </c>
      <c r="O21" s="6">
        <v>0.10845</v>
      </c>
      <c r="P21" s="6"/>
      <c r="Q21" s="6">
        <v>8</v>
      </c>
      <c r="R21" s="6">
        <v>32</v>
      </c>
      <c r="S21" s="6">
        <v>9.493E-2</v>
      </c>
      <c r="T21" s="6"/>
      <c r="U21" s="6">
        <v>0</v>
      </c>
      <c r="V21" s="6">
        <v>0</v>
      </c>
      <c r="W21" s="6">
        <v>0.10362</v>
      </c>
      <c r="X21" s="6"/>
      <c r="Y21" s="6">
        <v>8</v>
      </c>
      <c r="Z21" s="6">
        <v>32</v>
      </c>
      <c r="AA21" s="6">
        <f xml:space="preserve"> 0.05482 +0.03868</f>
        <v>9.35E-2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42" x14ac:dyDescent="0.2">
      <c r="A22" s="6"/>
      <c r="B22" s="6"/>
      <c r="C22" s="6"/>
      <c r="D22" s="6"/>
      <c r="E22" s="6">
        <v>16</v>
      </c>
      <c r="F22" s="6">
        <v>64</v>
      </c>
      <c r="G22" s="6">
        <v>0.27677000000000002</v>
      </c>
      <c r="H22" s="6"/>
      <c r="I22" s="6">
        <v>8</v>
      </c>
      <c r="J22" s="6">
        <v>32</v>
      </c>
      <c r="K22" s="6">
        <v>8.4169999999999995E-2</v>
      </c>
      <c r="L22" s="6"/>
      <c r="M22" s="6">
        <v>7</v>
      </c>
      <c r="N22" s="6">
        <v>28</v>
      </c>
      <c r="O22" s="6">
        <v>0.10326</v>
      </c>
      <c r="P22" s="6"/>
      <c r="Q22" s="6">
        <v>16</v>
      </c>
      <c r="R22" s="6">
        <v>64</v>
      </c>
      <c r="S22" s="6">
        <v>0.34627000000000002</v>
      </c>
      <c r="T22" s="6"/>
      <c r="U22" s="6">
        <v>8</v>
      </c>
      <c r="V22" s="6">
        <v>32</v>
      </c>
      <c r="W22" s="6">
        <v>8.4169999999999995E-2</v>
      </c>
      <c r="X22" s="6"/>
      <c r="Y22" s="6">
        <v>16</v>
      </c>
      <c r="Z22" s="6">
        <v>64</v>
      </c>
      <c r="AA22" s="6">
        <f>0.23202+0.12466</f>
        <v>0.35668</v>
      </c>
      <c r="AB22" s="6"/>
      <c r="AC22" s="6"/>
      <c r="AD22" s="5"/>
      <c r="AE22" s="5"/>
      <c r="AF22" s="5"/>
    </row>
    <row r="23" spans="1:42" x14ac:dyDescent="0.2">
      <c r="A23" s="6"/>
      <c r="B23" s="6"/>
      <c r="C23" s="6"/>
      <c r="D23" s="6"/>
      <c r="E23" s="6">
        <v>21</v>
      </c>
      <c r="F23" s="6">
        <v>84</v>
      </c>
      <c r="G23" s="6">
        <v>0.15834000000000001</v>
      </c>
      <c r="H23" s="6"/>
      <c r="I23" s="6">
        <v>16</v>
      </c>
      <c r="J23" s="6">
        <v>64</v>
      </c>
      <c r="K23" s="6">
        <v>0.15304000000000001</v>
      </c>
      <c r="L23" s="6"/>
      <c r="M23" s="6">
        <v>8</v>
      </c>
      <c r="N23" s="6">
        <v>32</v>
      </c>
      <c r="O23" s="6">
        <v>9.9860000000000004E-2</v>
      </c>
      <c r="P23" s="6"/>
      <c r="Q23" s="6">
        <v>21</v>
      </c>
      <c r="R23" s="6">
        <v>84</v>
      </c>
      <c r="S23" s="6">
        <v>0.15282000000000001</v>
      </c>
      <c r="T23" s="6"/>
      <c r="U23" s="6">
        <v>16</v>
      </c>
      <c r="V23" s="6">
        <v>64</v>
      </c>
      <c r="W23" s="6">
        <v>0.15304000000000001</v>
      </c>
      <c r="X23" s="6"/>
      <c r="Y23" s="6">
        <v>21</v>
      </c>
      <c r="Z23" s="6">
        <v>84</v>
      </c>
      <c r="AA23" s="6">
        <f xml:space="preserve"> 0.081+0.07674</f>
        <v>0.15773999999999999</v>
      </c>
      <c r="AB23" s="6"/>
      <c r="AC23" s="6"/>
      <c r="AD23" s="6"/>
      <c r="AE23" s="6"/>
      <c r="AF23" s="6"/>
    </row>
    <row r="24" spans="1:42" x14ac:dyDescent="0.2">
      <c r="A24" s="6"/>
      <c r="B24" s="6"/>
      <c r="C24" s="6"/>
      <c r="D24" s="6"/>
      <c r="E24" s="6"/>
      <c r="F24" s="6"/>
      <c r="G24" s="6"/>
      <c r="H24" s="6"/>
      <c r="I24" s="6">
        <v>21</v>
      </c>
      <c r="J24" s="6">
        <v>84</v>
      </c>
      <c r="K24" s="6">
        <v>0.10362</v>
      </c>
      <c r="L24" s="6"/>
      <c r="M24" s="6">
        <v>9</v>
      </c>
      <c r="N24" s="6">
        <v>36</v>
      </c>
      <c r="O24" s="6">
        <v>9.7780000000000006E-2</v>
      </c>
      <c r="P24" s="6"/>
      <c r="Q24" s="6"/>
      <c r="R24" s="6"/>
      <c r="S24" s="6"/>
      <c r="T24" s="6"/>
      <c r="U24" s="6">
        <v>21</v>
      </c>
      <c r="V24" s="6">
        <v>84</v>
      </c>
      <c r="W24" s="6">
        <v>0.10362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42" x14ac:dyDescent="0.2">
      <c r="A25" s="6"/>
      <c r="B25" s="6"/>
      <c r="C25" s="6"/>
      <c r="D25" s="6"/>
      <c r="E25" s="6"/>
      <c r="F25" s="6"/>
      <c r="G25" s="6"/>
      <c r="H25" s="6"/>
      <c r="I25" s="6" t="s">
        <v>54</v>
      </c>
      <c r="J25" s="6" t="s">
        <v>57</v>
      </c>
      <c r="K25" s="6">
        <v>13.35</v>
      </c>
      <c r="L25" s="6">
        <v>0.44500000000000001</v>
      </c>
      <c r="M25" s="6">
        <v>10</v>
      </c>
      <c r="N25" s="6">
        <v>40</v>
      </c>
      <c r="O25" s="6">
        <v>9.8059999999999994E-2</v>
      </c>
      <c r="P25" s="6"/>
      <c r="Q25" s="6"/>
      <c r="R25" s="6"/>
      <c r="S25" s="6"/>
      <c r="T25" s="6"/>
      <c r="U25" s="6" t="s">
        <v>54</v>
      </c>
      <c r="V25" s="6" t="s">
        <v>57</v>
      </c>
      <c r="W25" s="6">
        <v>13.35</v>
      </c>
      <c r="X25" s="6">
        <v>0.44500000000000001</v>
      </c>
      <c r="Y25" s="6"/>
      <c r="Z25" s="6"/>
      <c r="AA25" s="6"/>
      <c r="AB25" s="6"/>
      <c r="AC25" s="6"/>
      <c r="AD25" s="6"/>
      <c r="AE25" s="6"/>
      <c r="AF25" s="6"/>
    </row>
    <row r="26" spans="1:4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11</v>
      </c>
      <c r="N26" s="6">
        <v>44</v>
      </c>
      <c r="O26" s="6">
        <v>9.9110000000000004E-2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D26" s="6"/>
      <c r="AE26" s="6"/>
      <c r="AF26" s="6"/>
    </row>
    <row r="27" spans="1:42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12</v>
      </c>
      <c r="N27" s="6">
        <v>48</v>
      </c>
      <c r="O27" s="6">
        <v>0.10269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D27" s="6"/>
      <c r="AE27" s="6"/>
      <c r="AF27" s="6"/>
    </row>
    <row r="28" spans="1:42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13</v>
      </c>
      <c r="N28" s="6">
        <v>52</v>
      </c>
      <c r="O28" s="6">
        <v>0.11342000000000001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D28" s="6"/>
      <c r="AE28" s="6"/>
      <c r="AF28" s="6"/>
    </row>
    <row r="29" spans="1:42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14</v>
      </c>
      <c r="N29" s="6">
        <v>56</v>
      </c>
      <c r="O29" s="6">
        <v>0.11541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42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15</v>
      </c>
      <c r="N30" s="6">
        <v>60</v>
      </c>
      <c r="O30" s="6">
        <v>0.11863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4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16</v>
      </c>
      <c r="N31" s="6">
        <v>64</v>
      </c>
      <c r="O31" s="6">
        <v>0.18189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4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17</v>
      </c>
      <c r="N32" s="6">
        <v>68</v>
      </c>
      <c r="O32" s="6">
        <v>4.4770899999999996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18</v>
      </c>
      <c r="N33" s="6">
        <v>72</v>
      </c>
      <c r="O33" s="6">
        <v>4.31473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19</v>
      </c>
      <c r="N34" s="6">
        <v>76</v>
      </c>
      <c r="O34" s="6">
        <v>1.1270199999999999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20</v>
      </c>
      <c r="N35" s="6">
        <v>80</v>
      </c>
      <c r="O35" s="6">
        <v>0.1726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21</v>
      </c>
      <c r="N36" s="6">
        <v>84</v>
      </c>
      <c r="O36" s="6">
        <v>0.12218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22</v>
      </c>
      <c r="N37" s="6">
        <v>88</v>
      </c>
      <c r="O37" s="6">
        <v>0.11151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23</v>
      </c>
      <c r="N38" s="6">
        <v>92</v>
      </c>
      <c r="O38" s="6">
        <v>0.10883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54</v>
      </c>
      <c r="N39" s="6" t="s">
        <v>55</v>
      </c>
      <c r="O39" s="6">
        <v>13.03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hyperlinks>
    <hyperlink ref="B5" r:id="rId1" display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xr:uid="{0A185ED1-D3E3-584A-B263-FD5C11028F16}"/>
    <hyperlink ref="B9" r:id="rId2" display="https://library.sce.com/content/dam/sce-doclib/public/regulatory/tariff/electric/schedules/general-service-&amp;-industrial-rates/ELECTRIC_SCHEDULES_GS-1.pdf" xr:uid="{12FEC46E-AE81-184F-A238-C218B5323E0C}"/>
    <hyperlink ref="F9" r:id="rId3" display="https://library.sce.com/content/dam/sce-doclib/public/regulatory/tariff/electric/schedules/general-service-&amp;-industrial-rates/ELECTRIC_SCHEDULES_TOU-GS-1.pdf" xr:uid="{BD5B7ECB-3764-684E-8F72-EF648086DE30}"/>
    <hyperlink ref="J9" r:id="rId4" display="https://library.sce.com/content/dam/sce-doclib/public/regulatory/tariff/electric/schedules/general-service-&amp;-industrial-rates/ELECTRIC_SCHEDULES_TOU-GS-1.pdf" xr:uid="{E267D0EA-25BC-DC41-92FD-5580429BB14D}"/>
    <hyperlink ref="N9" r:id="rId5" display="https://library.sce.com/content/dam/sce-doclib/public/regulatory/tariff/electric/schedules/general-service-&amp;-industrial-rates/ELECTRIC_SCHEDULES_TOU-GS-1-RTP.pdf" xr:uid="{4FF1BF2C-AD9E-2845-A271-D76A913180D9}"/>
    <hyperlink ref="R9" r:id="rId6" display="https://library.sce.com/content/dam/sce-doclib/public/regulatory/tariff/electric/schedules/general-service-&amp;-industrial-rates/ELECTRIC_SCHEDULES_TOU-GS-1.pdf" xr:uid="{30F39393-E06A-334E-AB81-0988E59AF61A}"/>
    <hyperlink ref="V9" r:id="rId7" display="https://library.sce.com/content/dam/sce-doclib/public/regulatory/tariff/electric/schedules/general-service-&amp;-industrial-rates/ELECTRIC_SCHEDULES_TOU-GS-1.pdf" xr:uid="{1115D717-E618-C844-B994-F107EEED4519}"/>
    <hyperlink ref="Z9" r:id="rId8" display="https://library.sce.com/content/dam/sce-doclib/public/regulatory/tariff/electric/schedules/general-service-&amp;-industrial-rates/ELECTRIC_SCHEDULES_TOU-EV-8.pdf" xr:uid="{8A4DE4EE-1463-BB4D-A40D-67D373C551D1}"/>
    <hyperlink ref="AE5" r:id="rId9" xr:uid="{DE9EAF5D-7FDB-F84A-B7FB-FDA569BA379F}"/>
    <hyperlink ref="AE9" r:id="rId10" xr:uid="{EEF31279-0776-4044-B443-41D40EF23458}"/>
    <hyperlink ref="AI9" r:id="rId11" xr:uid="{25ED98E5-A02D-8E47-BBFC-49061C18DD72}"/>
    <hyperlink ref="AN5" r:id="rId12" xr:uid="{9DA14E24-F194-F443-9D54-9779B7BA894E}"/>
    <hyperlink ref="AN9" r:id="rId13" xr:uid="{F1B034F6-9EA9-A749-BF81-39B1DB663A8C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vehicle_parameters</vt:lpstr>
      <vt:lpstr>locations</vt:lpstr>
      <vt:lpstr>202207_energy_prices</vt:lpstr>
      <vt:lpstr>202010_energy_prices</vt:lpstr>
      <vt:lpstr>mo</vt:lpstr>
      <vt:lpstr>th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Ariss</dc:creator>
  <cp:lastModifiedBy>Rami Ariss</cp:lastModifiedBy>
  <dcterms:created xsi:type="dcterms:W3CDTF">2021-03-17T10:30:06Z</dcterms:created>
  <dcterms:modified xsi:type="dcterms:W3CDTF">2022-10-24T07:28:59Z</dcterms:modified>
</cp:coreProperties>
</file>