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ariss/Projects/E-VRP-TW-V2G/data/"/>
    </mc:Choice>
  </mc:AlternateContent>
  <xr:revisionPtr revIDLastSave="0" documentId="13_ncr:1_{12CB8649-1658-294D-BF5C-B0320669E2D2}" xr6:coauthVersionLast="47" xr6:coauthVersionMax="47" xr10:uidLastSave="{00000000-0000-0000-0000-000000000000}"/>
  <bookViews>
    <workbookView xWindow="3760" yWindow="880" windowWidth="37360" windowHeight="25700" activeTab="1" xr2:uid="{00000000-000D-0000-FFFF-FFFF00000000}"/>
  </bookViews>
  <sheets>
    <sheet name="scenarios" sheetId="6" r:id="rId1"/>
    <sheet name="vehicle_parameters" sheetId="1" r:id="rId2"/>
    <sheet name="locations" sheetId="4" r:id="rId3"/>
    <sheet name="202207_energy_prices_us" sheetId="2" r:id="rId4"/>
    <sheet name="2022_energy_prices_china" sheetId="5" r:id="rId5"/>
    <sheet name="202010_energy_prices_ca" sheetId="3" r:id="rId6"/>
  </sheets>
  <definedNames>
    <definedName name="mo">'202207_energy_prices_us'!$B$3</definedName>
    <definedName name="th">'202207_energy_prices_us'!$B$2</definedName>
    <definedName name="ts">'202207_energy_prices_us'!$B$1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S2" i="1"/>
  <c r="B55" i="1"/>
  <c r="U52" i="1"/>
  <c r="B50" i="1"/>
  <c r="B51" i="1"/>
  <c r="B49" i="1"/>
  <c r="B48" i="1"/>
  <c r="P2" i="1"/>
  <c r="P48" i="1" l="1"/>
  <c r="W4" i="1" l="1"/>
  <c r="R10" i="1"/>
  <c r="R11" i="1" s="1"/>
  <c r="R48" i="1"/>
  <c r="W40" i="5" l="1"/>
  <c r="C36" i="5"/>
  <c r="JY39" i="2"/>
  <c r="GY55" i="2"/>
  <c r="GY47" i="2"/>
  <c r="GY48" i="2"/>
  <c r="GY49" i="2"/>
  <c r="GY50" i="2"/>
  <c r="GY51" i="2"/>
  <c r="GY52" i="2"/>
  <c r="GY53" i="2"/>
  <c r="GY54" i="2"/>
  <c r="GY56" i="2"/>
  <c r="GY57" i="2"/>
  <c r="GY58" i="2"/>
  <c r="GY59" i="2"/>
  <c r="GY60" i="2"/>
  <c r="GY61" i="2"/>
  <c r="GY62" i="2"/>
  <c r="GY63" i="2"/>
  <c r="GY64" i="2"/>
  <c r="GY65" i="2"/>
  <c r="GY66" i="2"/>
  <c r="GY67" i="2"/>
  <c r="GY68" i="2"/>
  <c r="GY69" i="2"/>
  <c r="GY70" i="2"/>
  <c r="GY71" i="2"/>
  <c r="GY72" i="2"/>
  <c r="GY73" i="2"/>
  <c r="GY74" i="2"/>
  <c r="GY75" i="2"/>
  <c r="GY76" i="2"/>
  <c r="GY77" i="2"/>
  <c r="GY78" i="2"/>
  <c r="GY79" i="2"/>
  <c r="GY80" i="2"/>
  <c r="GY81" i="2"/>
  <c r="GY82" i="2"/>
  <c r="GY83" i="2"/>
  <c r="GY84" i="2"/>
  <c r="GY85" i="2"/>
  <c r="GY86" i="2"/>
  <c r="GY87" i="2"/>
  <c r="GY88" i="2"/>
  <c r="GY89" i="2"/>
  <c r="GY90" i="2"/>
  <c r="GY91" i="2"/>
  <c r="GY92" i="2"/>
  <c r="GY93" i="2"/>
  <c r="GY94" i="2"/>
  <c r="GY95" i="2"/>
  <c r="GY96" i="2"/>
  <c r="GY97" i="2"/>
  <c r="GY98" i="2"/>
  <c r="GY99" i="2"/>
  <c r="GY100" i="2"/>
  <c r="GY101" i="2"/>
  <c r="GY102" i="2"/>
  <c r="GY103" i="2"/>
  <c r="GY104" i="2"/>
  <c r="GY105" i="2"/>
  <c r="GY106" i="2"/>
  <c r="GY107" i="2"/>
  <c r="GY108" i="2"/>
  <c r="GY109" i="2"/>
  <c r="GY110" i="2"/>
  <c r="GY111" i="2"/>
  <c r="GY112" i="2"/>
  <c r="GY113" i="2"/>
  <c r="GY114" i="2"/>
  <c r="GY115" i="2"/>
  <c r="GY116" i="2"/>
  <c r="GY117" i="2"/>
  <c r="GY118" i="2"/>
  <c r="GY119" i="2"/>
  <c r="GY120" i="2"/>
  <c r="GY121" i="2"/>
  <c r="GY122" i="2"/>
  <c r="GY123" i="2"/>
  <c r="GY124" i="2"/>
  <c r="GY125" i="2"/>
  <c r="GY126" i="2"/>
  <c r="GY127" i="2"/>
  <c r="GY128" i="2"/>
  <c r="GY129" i="2"/>
  <c r="GY130" i="2"/>
  <c r="GY131" i="2"/>
  <c r="GY132" i="2"/>
  <c r="GY133" i="2"/>
  <c r="GY134" i="2"/>
  <c r="GY135" i="2"/>
  <c r="GY136" i="2"/>
  <c r="GY137" i="2"/>
  <c r="GY138" i="2"/>
  <c r="GY139" i="2"/>
  <c r="GY140" i="2"/>
  <c r="GY141" i="2"/>
  <c r="GY142" i="2"/>
  <c r="GX48" i="2"/>
  <c r="GX49" i="2"/>
  <c r="GX50" i="2"/>
  <c r="GX51" i="2"/>
  <c r="GX52" i="2"/>
  <c r="GX53" i="2"/>
  <c r="GX54" i="2"/>
  <c r="GX55" i="2"/>
  <c r="GX56" i="2"/>
  <c r="GX57" i="2"/>
  <c r="GX58" i="2"/>
  <c r="GX59" i="2"/>
  <c r="GX60" i="2"/>
  <c r="GX61" i="2"/>
  <c r="GX62" i="2"/>
  <c r="GX63" i="2"/>
  <c r="GX64" i="2"/>
  <c r="GX65" i="2"/>
  <c r="GX66" i="2"/>
  <c r="GX67" i="2"/>
  <c r="GX68" i="2"/>
  <c r="GX69" i="2"/>
  <c r="GX70" i="2"/>
  <c r="GX71" i="2"/>
  <c r="GX72" i="2"/>
  <c r="GX73" i="2"/>
  <c r="GX74" i="2"/>
  <c r="GX75" i="2"/>
  <c r="GX76" i="2"/>
  <c r="GX77" i="2"/>
  <c r="GX78" i="2"/>
  <c r="GX79" i="2"/>
  <c r="GX80" i="2"/>
  <c r="GX81" i="2"/>
  <c r="GX82" i="2"/>
  <c r="GX83" i="2"/>
  <c r="GX84" i="2"/>
  <c r="GX85" i="2"/>
  <c r="GX86" i="2"/>
  <c r="GX87" i="2"/>
  <c r="GX88" i="2"/>
  <c r="GX89" i="2"/>
  <c r="GX90" i="2"/>
  <c r="GX91" i="2"/>
  <c r="GX92" i="2"/>
  <c r="GX93" i="2"/>
  <c r="GX94" i="2"/>
  <c r="GX95" i="2"/>
  <c r="GX96" i="2"/>
  <c r="GX97" i="2"/>
  <c r="GX98" i="2"/>
  <c r="GX99" i="2"/>
  <c r="GX100" i="2"/>
  <c r="GX101" i="2"/>
  <c r="GX102" i="2"/>
  <c r="GX103" i="2"/>
  <c r="GX104" i="2"/>
  <c r="GX105" i="2"/>
  <c r="GX106" i="2"/>
  <c r="GX107" i="2"/>
  <c r="GX108" i="2"/>
  <c r="GX109" i="2"/>
  <c r="GX110" i="2"/>
  <c r="GX111" i="2"/>
  <c r="GX112" i="2"/>
  <c r="GX113" i="2"/>
  <c r="GX114" i="2"/>
  <c r="GX115" i="2"/>
  <c r="GX116" i="2"/>
  <c r="GX117" i="2"/>
  <c r="GX118" i="2"/>
  <c r="GX119" i="2"/>
  <c r="GX120" i="2"/>
  <c r="GX121" i="2"/>
  <c r="GX122" i="2"/>
  <c r="GX123" i="2"/>
  <c r="GX124" i="2"/>
  <c r="GX125" i="2"/>
  <c r="GX126" i="2"/>
  <c r="GX127" i="2"/>
  <c r="GX128" i="2"/>
  <c r="GX129" i="2"/>
  <c r="GX130" i="2"/>
  <c r="GX131" i="2"/>
  <c r="GX132" i="2"/>
  <c r="GX133" i="2"/>
  <c r="GX134" i="2"/>
  <c r="GX135" i="2"/>
  <c r="GX136" i="2"/>
  <c r="GX137" i="2"/>
  <c r="GX138" i="2"/>
  <c r="GX139" i="2"/>
  <c r="GX140" i="2"/>
  <c r="GX141" i="2"/>
  <c r="GX142" i="2"/>
  <c r="GX47" i="2"/>
  <c r="FY16" i="2"/>
  <c r="EM19" i="2"/>
  <c r="T2" i="1"/>
  <c r="M32" i="1"/>
  <c r="N32" i="1"/>
  <c r="O32" i="1"/>
  <c r="Q32" i="1"/>
  <c r="R32" i="1"/>
  <c r="S32" i="1"/>
  <c r="T32" i="1"/>
  <c r="P32" i="1"/>
  <c r="Q3" i="1"/>
  <c r="R3" i="1"/>
  <c r="S3" i="1"/>
  <c r="Q5" i="1"/>
  <c r="R5" i="1"/>
  <c r="S5" i="1"/>
  <c r="Q10" i="1"/>
  <c r="Q19" i="1" s="1"/>
  <c r="S10" i="1"/>
  <c r="S19" i="1" s="1"/>
  <c r="Q11" i="1"/>
  <c r="S11" i="1"/>
  <c r="Q17" i="1"/>
  <c r="R17" i="1"/>
  <c r="S17" i="1"/>
  <c r="Q18" i="1"/>
  <c r="R18" i="1"/>
  <c r="S18" i="1"/>
  <c r="R19" i="1"/>
  <c r="P19" i="1"/>
  <c r="S9" i="1"/>
  <c r="S12" i="1"/>
  <c r="S14" i="1"/>
  <c r="Q9" i="1"/>
  <c r="Q12" i="1"/>
  <c r="Q14" i="1"/>
  <c r="T18" i="1"/>
  <c r="T17" i="1"/>
  <c r="T10" i="1"/>
  <c r="T19" i="1" s="1"/>
  <c r="T6" i="1"/>
  <c r="T5" i="1"/>
  <c r="T4" i="1"/>
  <c r="T3" i="1"/>
  <c r="R6" i="1"/>
  <c r="S6" i="1" s="1"/>
  <c r="R4" i="1"/>
  <c r="P18" i="1"/>
  <c r="P17" i="1"/>
  <c r="P10" i="1"/>
  <c r="P11" i="1" s="1"/>
  <c r="P6" i="1"/>
  <c r="P5" i="1"/>
  <c r="P4" i="1"/>
  <c r="P3" i="1"/>
  <c r="B36" i="1"/>
  <c r="B30" i="1" s="1"/>
  <c r="Q2" i="1" l="1"/>
  <c r="Q48" i="1" s="1"/>
  <c r="S48" i="1"/>
  <c r="T48" i="1"/>
  <c r="R8" i="1"/>
  <c r="Q4" i="1"/>
  <c r="Q8" i="1"/>
  <c r="T8" i="1"/>
  <c r="P8" i="1"/>
  <c r="S8" i="1"/>
  <c r="Q6" i="1"/>
  <c r="S4" i="1"/>
  <c r="T11" i="1"/>
  <c r="KX15" i="2"/>
  <c r="KW15" i="2"/>
  <c r="KR15" i="2"/>
  <c r="KW16" i="2"/>
  <c r="KV15" i="2"/>
  <c r="KS15" i="2"/>
  <c r="KR16" i="2"/>
  <c r="KS16" i="2" s="1"/>
  <c r="KQ15" i="2"/>
  <c r="JX40" i="2"/>
  <c r="JY40" i="2" s="1"/>
  <c r="JX39" i="2"/>
  <c r="JX16" i="2"/>
  <c r="JX17" i="2"/>
  <c r="JX18" i="2"/>
  <c r="JX19" i="2"/>
  <c r="JX20" i="2"/>
  <c r="JX21" i="2"/>
  <c r="JX22" i="2"/>
  <c r="JX23" i="2"/>
  <c r="JX24" i="2"/>
  <c r="JX25" i="2"/>
  <c r="JX26" i="2"/>
  <c r="JX27" i="2"/>
  <c r="JX28" i="2"/>
  <c r="JX29" i="2"/>
  <c r="JX30" i="2"/>
  <c r="JX31" i="2"/>
  <c r="JX32" i="2"/>
  <c r="JX33" i="2"/>
  <c r="JX34" i="2"/>
  <c r="JX35" i="2"/>
  <c r="JX36" i="2"/>
  <c r="JX37" i="2"/>
  <c r="JX38" i="2"/>
  <c r="JX15" i="2"/>
  <c r="KK38" i="2"/>
  <c r="KJ38" i="2"/>
  <c r="KI38" i="2"/>
  <c r="KH38" i="2"/>
  <c r="KG38" i="2"/>
  <c r="KF38" i="2"/>
  <c r="KE38" i="2"/>
  <c r="KD38" i="2"/>
  <c r="KC38" i="2"/>
  <c r="KB38" i="2"/>
  <c r="KA38" i="2"/>
  <c r="JZ38" i="2"/>
  <c r="JY38" i="2"/>
  <c r="JW38" i="2"/>
  <c r="KK37" i="2"/>
  <c r="KJ37" i="2"/>
  <c r="KI37" i="2"/>
  <c r="KH37" i="2"/>
  <c r="KG37" i="2"/>
  <c r="KF37" i="2"/>
  <c r="KE37" i="2"/>
  <c r="KD37" i="2"/>
  <c r="KC37" i="2"/>
  <c r="KB37" i="2"/>
  <c r="KA37" i="2"/>
  <c r="JZ37" i="2"/>
  <c r="JY37" i="2"/>
  <c r="JW37" i="2"/>
  <c r="KK36" i="2"/>
  <c r="KJ36" i="2"/>
  <c r="KI36" i="2"/>
  <c r="KH36" i="2"/>
  <c r="KG36" i="2"/>
  <c r="KF36" i="2"/>
  <c r="KE36" i="2"/>
  <c r="KD36" i="2"/>
  <c r="KC36" i="2"/>
  <c r="KB36" i="2"/>
  <c r="KA36" i="2"/>
  <c r="JZ36" i="2"/>
  <c r="JY36" i="2"/>
  <c r="JW36" i="2"/>
  <c r="KK35" i="2"/>
  <c r="KJ35" i="2"/>
  <c r="KI35" i="2"/>
  <c r="KH35" i="2"/>
  <c r="KG35" i="2"/>
  <c r="KF35" i="2"/>
  <c r="KE35" i="2"/>
  <c r="KD35" i="2"/>
  <c r="KC35" i="2"/>
  <c r="KB35" i="2"/>
  <c r="KA35" i="2"/>
  <c r="JZ35" i="2"/>
  <c r="JY35" i="2"/>
  <c r="JW35" i="2"/>
  <c r="KK34" i="2"/>
  <c r="KJ34" i="2"/>
  <c r="KI34" i="2"/>
  <c r="KH34" i="2"/>
  <c r="KG34" i="2"/>
  <c r="KF34" i="2"/>
  <c r="KE34" i="2"/>
  <c r="KD34" i="2"/>
  <c r="KC34" i="2"/>
  <c r="KB34" i="2"/>
  <c r="KA34" i="2"/>
  <c r="JZ34" i="2"/>
  <c r="JY34" i="2"/>
  <c r="JW34" i="2"/>
  <c r="KK33" i="2"/>
  <c r="KJ33" i="2"/>
  <c r="KI33" i="2"/>
  <c r="KH33" i="2"/>
  <c r="KG33" i="2"/>
  <c r="KF33" i="2"/>
  <c r="KE33" i="2"/>
  <c r="KD33" i="2"/>
  <c r="KC33" i="2"/>
  <c r="KB33" i="2"/>
  <c r="KA33" i="2"/>
  <c r="JZ33" i="2"/>
  <c r="JY33" i="2"/>
  <c r="JW33" i="2"/>
  <c r="KK32" i="2"/>
  <c r="KJ32" i="2"/>
  <c r="KI32" i="2"/>
  <c r="KH32" i="2"/>
  <c r="KG32" i="2"/>
  <c r="KF32" i="2"/>
  <c r="KE32" i="2"/>
  <c r="KD32" i="2"/>
  <c r="KC32" i="2"/>
  <c r="KB32" i="2"/>
  <c r="KA32" i="2"/>
  <c r="JZ32" i="2"/>
  <c r="JY32" i="2"/>
  <c r="JW32" i="2"/>
  <c r="KK31" i="2"/>
  <c r="KJ31" i="2"/>
  <c r="KI31" i="2"/>
  <c r="KH31" i="2"/>
  <c r="KG31" i="2"/>
  <c r="KF31" i="2"/>
  <c r="KE31" i="2"/>
  <c r="KD31" i="2"/>
  <c r="KC31" i="2"/>
  <c r="KB31" i="2"/>
  <c r="KA31" i="2"/>
  <c r="JZ31" i="2"/>
  <c r="JY31" i="2"/>
  <c r="JW31" i="2"/>
  <c r="KK30" i="2"/>
  <c r="KJ30" i="2"/>
  <c r="KI30" i="2"/>
  <c r="KH30" i="2"/>
  <c r="KG30" i="2"/>
  <c r="KF30" i="2"/>
  <c r="KE30" i="2"/>
  <c r="KD30" i="2"/>
  <c r="KC30" i="2"/>
  <c r="KB30" i="2"/>
  <c r="KA30" i="2"/>
  <c r="JZ30" i="2"/>
  <c r="JY30" i="2"/>
  <c r="JW30" i="2"/>
  <c r="KK29" i="2"/>
  <c r="KJ29" i="2"/>
  <c r="KI29" i="2"/>
  <c r="KH29" i="2"/>
  <c r="KG29" i="2"/>
  <c r="KF29" i="2"/>
  <c r="KE29" i="2"/>
  <c r="KD29" i="2"/>
  <c r="KC29" i="2"/>
  <c r="KB29" i="2"/>
  <c r="KA29" i="2"/>
  <c r="JZ29" i="2"/>
  <c r="JY29" i="2"/>
  <c r="JW29" i="2"/>
  <c r="KK28" i="2"/>
  <c r="KJ28" i="2"/>
  <c r="KI28" i="2"/>
  <c r="KH28" i="2"/>
  <c r="KG28" i="2"/>
  <c r="KF28" i="2"/>
  <c r="KE28" i="2"/>
  <c r="KD28" i="2"/>
  <c r="KC28" i="2"/>
  <c r="KB28" i="2"/>
  <c r="KA28" i="2"/>
  <c r="JZ28" i="2"/>
  <c r="JY28" i="2"/>
  <c r="JW28" i="2"/>
  <c r="KK27" i="2"/>
  <c r="KJ27" i="2"/>
  <c r="KI27" i="2"/>
  <c r="KH27" i="2"/>
  <c r="KG27" i="2"/>
  <c r="KF27" i="2"/>
  <c r="KE27" i="2"/>
  <c r="KD27" i="2"/>
  <c r="KC27" i="2"/>
  <c r="KB27" i="2"/>
  <c r="KA27" i="2"/>
  <c r="JZ27" i="2"/>
  <c r="JY27" i="2"/>
  <c r="JW27" i="2"/>
  <c r="KK26" i="2"/>
  <c r="KJ26" i="2"/>
  <c r="KI26" i="2"/>
  <c r="KH26" i="2"/>
  <c r="KG26" i="2"/>
  <c r="KF26" i="2"/>
  <c r="KE26" i="2"/>
  <c r="KD26" i="2"/>
  <c r="KC26" i="2"/>
  <c r="KB26" i="2"/>
  <c r="KA26" i="2"/>
  <c r="JZ26" i="2"/>
  <c r="JY26" i="2"/>
  <c r="JW26" i="2"/>
  <c r="KK25" i="2"/>
  <c r="KJ25" i="2"/>
  <c r="KI25" i="2"/>
  <c r="KH25" i="2"/>
  <c r="KG25" i="2"/>
  <c r="KF25" i="2"/>
  <c r="KE25" i="2"/>
  <c r="KD25" i="2"/>
  <c r="KC25" i="2"/>
  <c r="KB25" i="2"/>
  <c r="KA25" i="2"/>
  <c r="JZ25" i="2"/>
  <c r="JY25" i="2"/>
  <c r="JW25" i="2"/>
  <c r="KK24" i="2"/>
  <c r="KJ24" i="2"/>
  <c r="KI24" i="2"/>
  <c r="KH24" i="2"/>
  <c r="KG24" i="2"/>
  <c r="KF24" i="2"/>
  <c r="KE24" i="2"/>
  <c r="KD24" i="2"/>
  <c r="KC24" i="2"/>
  <c r="KB24" i="2"/>
  <c r="KA24" i="2"/>
  <c r="JZ24" i="2"/>
  <c r="JY24" i="2"/>
  <c r="JW24" i="2"/>
  <c r="KK23" i="2"/>
  <c r="KJ23" i="2"/>
  <c r="KI23" i="2"/>
  <c r="KH23" i="2"/>
  <c r="KG23" i="2"/>
  <c r="KF23" i="2"/>
  <c r="KE23" i="2"/>
  <c r="KD23" i="2"/>
  <c r="KC23" i="2"/>
  <c r="KB23" i="2"/>
  <c r="KA23" i="2"/>
  <c r="JZ23" i="2"/>
  <c r="JY23" i="2"/>
  <c r="JW23" i="2"/>
  <c r="KK22" i="2"/>
  <c r="KJ22" i="2"/>
  <c r="KI22" i="2"/>
  <c r="KH22" i="2"/>
  <c r="KG22" i="2"/>
  <c r="KF22" i="2"/>
  <c r="KE22" i="2"/>
  <c r="KD22" i="2"/>
  <c r="KC22" i="2"/>
  <c r="KB22" i="2"/>
  <c r="KA22" i="2"/>
  <c r="JZ22" i="2"/>
  <c r="JY22" i="2"/>
  <c r="JW22" i="2"/>
  <c r="KK21" i="2"/>
  <c r="KJ21" i="2"/>
  <c r="KI21" i="2"/>
  <c r="KH21" i="2"/>
  <c r="KG21" i="2"/>
  <c r="KF21" i="2"/>
  <c r="KE21" i="2"/>
  <c r="KD21" i="2"/>
  <c r="KC21" i="2"/>
  <c r="KB21" i="2"/>
  <c r="KA21" i="2"/>
  <c r="JZ21" i="2"/>
  <c r="JY21" i="2"/>
  <c r="JW21" i="2"/>
  <c r="KK20" i="2"/>
  <c r="KJ20" i="2"/>
  <c r="KI20" i="2"/>
  <c r="KH20" i="2"/>
  <c r="KG20" i="2"/>
  <c r="KF20" i="2"/>
  <c r="KE20" i="2"/>
  <c r="KD20" i="2"/>
  <c r="KC20" i="2"/>
  <c r="KB20" i="2"/>
  <c r="KA20" i="2"/>
  <c r="JZ20" i="2"/>
  <c r="JY20" i="2"/>
  <c r="JW20" i="2"/>
  <c r="KK19" i="2"/>
  <c r="KJ19" i="2"/>
  <c r="KI19" i="2"/>
  <c r="KH19" i="2"/>
  <c r="KG19" i="2"/>
  <c r="KF19" i="2"/>
  <c r="KE19" i="2"/>
  <c r="KD19" i="2"/>
  <c r="KC19" i="2"/>
  <c r="KB19" i="2"/>
  <c r="KA19" i="2"/>
  <c r="JZ19" i="2"/>
  <c r="JY19" i="2"/>
  <c r="JW19" i="2"/>
  <c r="KK18" i="2"/>
  <c r="KJ18" i="2"/>
  <c r="KI18" i="2"/>
  <c r="KH18" i="2"/>
  <c r="KG18" i="2"/>
  <c r="KF18" i="2"/>
  <c r="KE18" i="2"/>
  <c r="KD18" i="2"/>
  <c r="KC18" i="2"/>
  <c r="KB18" i="2"/>
  <c r="KA18" i="2"/>
  <c r="JZ18" i="2"/>
  <c r="JY18" i="2"/>
  <c r="JW18" i="2"/>
  <c r="KK17" i="2"/>
  <c r="KJ17" i="2"/>
  <c r="KI17" i="2"/>
  <c r="KH17" i="2"/>
  <c r="KG17" i="2"/>
  <c r="KF17" i="2"/>
  <c r="KE17" i="2"/>
  <c r="KD17" i="2"/>
  <c r="KC17" i="2"/>
  <c r="KB17" i="2"/>
  <c r="KA17" i="2"/>
  <c r="JZ17" i="2"/>
  <c r="JY17" i="2"/>
  <c r="JW17" i="2"/>
  <c r="KK16" i="2"/>
  <c r="KJ16" i="2"/>
  <c r="KI16" i="2"/>
  <c r="KH16" i="2"/>
  <c r="KG16" i="2"/>
  <c r="KF16" i="2"/>
  <c r="KE16" i="2"/>
  <c r="KD16" i="2"/>
  <c r="KC16" i="2"/>
  <c r="KB16" i="2"/>
  <c r="KA16" i="2"/>
  <c r="JZ16" i="2"/>
  <c r="JY16" i="2"/>
  <c r="JW16" i="2"/>
  <c r="KK15" i="2"/>
  <c r="KJ15" i="2"/>
  <c r="KI15" i="2"/>
  <c r="KH15" i="2"/>
  <c r="KG15" i="2"/>
  <c r="KF15" i="2"/>
  <c r="KE15" i="2"/>
  <c r="KD15" i="2"/>
  <c r="KC15" i="2"/>
  <c r="KB15" i="2"/>
  <c r="KA15" i="2"/>
  <c r="JZ15" i="2"/>
  <c r="JY15" i="2"/>
  <c r="JW15" i="2"/>
  <c r="JD40" i="2"/>
  <c r="JD39" i="2"/>
  <c r="JQ38" i="2"/>
  <c r="JP38" i="2"/>
  <c r="JO38" i="2"/>
  <c r="JN38" i="2"/>
  <c r="JM38" i="2"/>
  <c r="JL38" i="2"/>
  <c r="JK38" i="2"/>
  <c r="JJ38" i="2"/>
  <c r="JI38" i="2"/>
  <c r="JH38" i="2"/>
  <c r="JG38" i="2"/>
  <c r="JF38" i="2"/>
  <c r="JQ37" i="2"/>
  <c r="JP37" i="2"/>
  <c r="JO37" i="2"/>
  <c r="JN37" i="2"/>
  <c r="JM37" i="2"/>
  <c r="JL37" i="2"/>
  <c r="JK37" i="2"/>
  <c r="JJ37" i="2"/>
  <c r="JI37" i="2"/>
  <c r="JH37" i="2"/>
  <c r="JG37" i="2"/>
  <c r="JF37" i="2"/>
  <c r="JQ36" i="2"/>
  <c r="JP36" i="2"/>
  <c r="JO36" i="2"/>
  <c r="JN36" i="2"/>
  <c r="JM36" i="2"/>
  <c r="JL36" i="2"/>
  <c r="JK36" i="2"/>
  <c r="JJ36" i="2"/>
  <c r="JI36" i="2"/>
  <c r="JH36" i="2"/>
  <c r="JG36" i="2"/>
  <c r="JF36" i="2"/>
  <c r="JQ35" i="2"/>
  <c r="JP35" i="2"/>
  <c r="JO35" i="2"/>
  <c r="JN35" i="2"/>
  <c r="JM35" i="2"/>
  <c r="JL35" i="2"/>
  <c r="JK35" i="2"/>
  <c r="JJ35" i="2"/>
  <c r="JI35" i="2"/>
  <c r="JH35" i="2"/>
  <c r="JG35" i="2"/>
  <c r="JF35" i="2"/>
  <c r="JQ34" i="2"/>
  <c r="JP34" i="2"/>
  <c r="JO34" i="2"/>
  <c r="JN34" i="2"/>
  <c r="JM34" i="2"/>
  <c r="JL34" i="2"/>
  <c r="JK34" i="2"/>
  <c r="JJ34" i="2"/>
  <c r="JI34" i="2"/>
  <c r="JH34" i="2"/>
  <c r="JG34" i="2"/>
  <c r="JF34" i="2"/>
  <c r="JQ33" i="2"/>
  <c r="JP33" i="2"/>
  <c r="JO33" i="2"/>
  <c r="JN33" i="2"/>
  <c r="JM33" i="2"/>
  <c r="JL33" i="2"/>
  <c r="JK33" i="2"/>
  <c r="JJ33" i="2"/>
  <c r="JI33" i="2"/>
  <c r="JH33" i="2"/>
  <c r="JG33" i="2"/>
  <c r="JF33" i="2"/>
  <c r="JQ32" i="2"/>
  <c r="JP32" i="2"/>
  <c r="JO32" i="2"/>
  <c r="JN32" i="2"/>
  <c r="JM32" i="2"/>
  <c r="JL32" i="2"/>
  <c r="JK32" i="2"/>
  <c r="JJ32" i="2"/>
  <c r="JI32" i="2"/>
  <c r="JH32" i="2"/>
  <c r="JG32" i="2"/>
  <c r="JF32" i="2"/>
  <c r="JQ31" i="2"/>
  <c r="JP31" i="2"/>
  <c r="JO31" i="2"/>
  <c r="JN31" i="2"/>
  <c r="JM31" i="2"/>
  <c r="JL31" i="2"/>
  <c r="JK31" i="2"/>
  <c r="JJ31" i="2"/>
  <c r="JI31" i="2"/>
  <c r="JH31" i="2"/>
  <c r="JG31" i="2"/>
  <c r="JF31" i="2"/>
  <c r="JQ30" i="2"/>
  <c r="JP30" i="2"/>
  <c r="JO30" i="2"/>
  <c r="JN30" i="2"/>
  <c r="JM30" i="2"/>
  <c r="JL30" i="2"/>
  <c r="JK30" i="2"/>
  <c r="JJ30" i="2"/>
  <c r="JI30" i="2"/>
  <c r="JH30" i="2"/>
  <c r="JG30" i="2"/>
  <c r="JF30" i="2"/>
  <c r="JQ29" i="2"/>
  <c r="JP29" i="2"/>
  <c r="JO29" i="2"/>
  <c r="JN29" i="2"/>
  <c r="JM29" i="2"/>
  <c r="JL29" i="2"/>
  <c r="JK29" i="2"/>
  <c r="JJ29" i="2"/>
  <c r="JI29" i="2"/>
  <c r="JH29" i="2"/>
  <c r="JG29" i="2"/>
  <c r="JF29" i="2"/>
  <c r="JQ28" i="2"/>
  <c r="JP28" i="2"/>
  <c r="JO28" i="2"/>
  <c r="JN28" i="2"/>
  <c r="JM28" i="2"/>
  <c r="JL28" i="2"/>
  <c r="JK28" i="2"/>
  <c r="JJ28" i="2"/>
  <c r="JI28" i="2"/>
  <c r="JH28" i="2"/>
  <c r="JG28" i="2"/>
  <c r="JF28" i="2"/>
  <c r="JQ27" i="2"/>
  <c r="JP27" i="2"/>
  <c r="JO27" i="2"/>
  <c r="JN27" i="2"/>
  <c r="JM27" i="2"/>
  <c r="JL27" i="2"/>
  <c r="JK27" i="2"/>
  <c r="JJ27" i="2"/>
  <c r="JI27" i="2"/>
  <c r="JH27" i="2"/>
  <c r="JG27" i="2"/>
  <c r="JF27" i="2"/>
  <c r="JQ26" i="2"/>
  <c r="JP26" i="2"/>
  <c r="JO26" i="2"/>
  <c r="JN26" i="2"/>
  <c r="JM26" i="2"/>
  <c r="JL26" i="2"/>
  <c r="JK26" i="2"/>
  <c r="JJ26" i="2"/>
  <c r="JI26" i="2"/>
  <c r="JH26" i="2"/>
  <c r="JG26" i="2"/>
  <c r="JF26" i="2"/>
  <c r="JQ25" i="2"/>
  <c r="JP25" i="2"/>
  <c r="JO25" i="2"/>
  <c r="JN25" i="2"/>
  <c r="JM25" i="2"/>
  <c r="JL25" i="2"/>
  <c r="JK25" i="2"/>
  <c r="JJ25" i="2"/>
  <c r="JI25" i="2"/>
  <c r="JH25" i="2"/>
  <c r="JG25" i="2"/>
  <c r="JF25" i="2"/>
  <c r="JQ24" i="2"/>
  <c r="JP24" i="2"/>
  <c r="JO24" i="2"/>
  <c r="JN24" i="2"/>
  <c r="JM24" i="2"/>
  <c r="JL24" i="2"/>
  <c r="JK24" i="2"/>
  <c r="JJ24" i="2"/>
  <c r="JI24" i="2"/>
  <c r="JH24" i="2"/>
  <c r="JG24" i="2"/>
  <c r="JF24" i="2"/>
  <c r="JQ23" i="2"/>
  <c r="JP23" i="2"/>
  <c r="JO23" i="2"/>
  <c r="JN23" i="2"/>
  <c r="JM23" i="2"/>
  <c r="JL23" i="2"/>
  <c r="JK23" i="2"/>
  <c r="JJ23" i="2"/>
  <c r="JI23" i="2"/>
  <c r="JH23" i="2"/>
  <c r="JG23" i="2"/>
  <c r="JF23" i="2"/>
  <c r="JQ22" i="2"/>
  <c r="JP22" i="2"/>
  <c r="JO22" i="2"/>
  <c r="JN22" i="2"/>
  <c r="JM22" i="2"/>
  <c r="JL22" i="2"/>
  <c r="JK22" i="2"/>
  <c r="JJ22" i="2"/>
  <c r="JI22" i="2"/>
  <c r="JH22" i="2"/>
  <c r="JG22" i="2"/>
  <c r="JF22" i="2"/>
  <c r="JQ21" i="2"/>
  <c r="JP21" i="2"/>
  <c r="JO21" i="2"/>
  <c r="JN21" i="2"/>
  <c r="JM21" i="2"/>
  <c r="JL21" i="2"/>
  <c r="JK21" i="2"/>
  <c r="JJ21" i="2"/>
  <c r="JI21" i="2"/>
  <c r="JH21" i="2"/>
  <c r="JG21" i="2"/>
  <c r="JF21" i="2"/>
  <c r="JQ20" i="2"/>
  <c r="JP20" i="2"/>
  <c r="JO20" i="2"/>
  <c r="JN20" i="2"/>
  <c r="JM20" i="2"/>
  <c r="JL20" i="2"/>
  <c r="JK20" i="2"/>
  <c r="JJ20" i="2"/>
  <c r="JI20" i="2"/>
  <c r="JH20" i="2"/>
  <c r="JG20" i="2"/>
  <c r="JF20" i="2"/>
  <c r="JQ19" i="2"/>
  <c r="JP19" i="2"/>
  <c r="JO19" i="2"/>
  <c r="JN19" i="2"/>
  <c r="JM19" i="2"/>
  <c r="JL19" i="2"/>
  <c r="JK19" i="2"/>
  <c r="JJ19" i="2"/>
  <c r="JI19" i="2"/>
  <c r="JH19" i="2"/>
  <c r="JG19" i="2"/>
  <c r="JF19" i="2"/>
  <c r="JQ18" i="2"/>
  <c r="JP18" i="2"/>
  <c r="JO18" i="2"/>
  <c r="JN18" i="2"/>
  <c r="JM18" i="2"/>
  <c r="JL18" i="2"/>
  <c r="JK18" i="2"/>
  <c r="JJ18" i="2"/>
  <c r="JI18" i="2"/>
  <c r="JH18" i="2"/>
  <c r="JG18" i="2"/>
  <c r="JF18" i="2"/>
  <c r="JQ17" i="2"/>
  <c r="JP17" i="2"/>
  <c r="JO17" i="2"/>
  <c r="JN17" i="2"/>
  <c r="JM17" i="2"/>
  <c r="JL17" i="2"/>
  <c r="JK17" i="2"/>
  <c r="JJ17" i="2"/>
  <c r="JI17" i="2"/>
  <c r="JH17" i="2"/>
  <c r="JG17" i="2"/>
  <c r="JF17" i="2"/>
  <c r="JQ16" i="2"/>
  <c r="JP16" i="2"/>
  <c r="JO16" i="2"/>
  <c r="JN16" i="2"/>
  <c r="JM16" i="2"/>
  <c r="JL16" i="2"/>
  <c r="JK16" i="2"/>
  <c r="JJ16" i="2"/>
  <c r="JI16" i="2"/>
  <c r="JH16" i="2"/>
  <c r="JG16" i="2"/>
  <c r="JF16" i="2"/>
  <c r="JQ15" i="2"/>
  <c r="JP15" i="2"/>
  <c r="JO15" i="2"/>
  <c r="JN15" i="2"/>
  <c r="JM15" i="2"/>
  <c r="JL15" i="2"/>
  <c r="JK15" i="2"/>
  <c r="JJ15" i="2"/>
  <c r="JI15" i="2"/>
  <c r="JH15" i="2"/>
  <c r="JG15" i="2"/>
  <c r="JF15" i="2"/>
  <c r="JE40" i="2"/>
  <c r="JE39" i="2"/>
  <c r="JE38" i="2"/>
  <c r="JC38" i="2"/>
  <c r="JE37" i="2"/>
  <c r="JC37" i="2"/>
  <c r="JE36" i="2"/>
  <c r="JC36" i="2"/>
  <c r="JE35" i="2"/>
  <c r="JC35" i="2"/>
  <c r="JE34" i="2"/>
  <c r="JC34" i="2"/>
  <c r="JE33" i="2"/>
  <c r="JC33" i="2"/>
  <c r="JE32" i="2"/>
  <c r="JC32" i="2"/>
  <c r="JE31" i="2"/>
  <c r="JC31" i="2"/>
  <c r="JE30" i="2"/>
  <c r="JC30" i="2"/>
  <c r="JE29" i="2"/>
  <c r="JC29" i="2"/>
  <c r="JE28" i="2"/>
  <c r="JC28" i="2"/>
  <c r="JE27" i="2"/>
  <c r="JC27" i="2"/>
  <c r="JE26" i="2"/>
  <c r="JC26" i="2"/>
  <c r="JE25" i="2"/>
  <c r="JC25" i="2"/>
  <c r="JE24" i="2"/>
  <c r="JC24" i="2"/>
  <c r="JE23" i="2"/>
  <c r="JC23" i="2"/>
  <c r="JE22" i="2"/>
  <c r="JC22" i="2"/>
  <c r="JE21" i="2"/>
  <c r="JC21" i="2"/>
  <c r="JE20" i="2"/>
  <c r="JC20" i="2"/>
  <c r="JE19" i="2"/>
  <c r="JC19" i="2"/>
  <c r="JE18" i="2"/>
  <c r="JC18" i="2"/>
  <c r="JE17" i="2"/>
  <c r="JC17" i="2"/>
  <c r="JE16" i="2"/>
  <c r="JC16" i="2"/>
  <c r="JE15" i="2"/>
  <c r="JC15" i="2"/>
  <c r="IJ39" i="2"/>
  <c r="IK39" i="2" s="1"/>
  <c r="IJ40" i="2"/>
  <c r="IK40" i="2" s="1"/>
  <c r="IJ16" i="2"/>
  <c r="IJ17" i="2"/>
  <c r="IJ18" i="2"/>
  <c r="IJ19" i="2"/>
  <c r="IJ20" i="2"/>
  <c r="IJ21" i="2"/>
  <c r="IJ22" i="2"/>
  <c r="IJ23" i="2"/>
  <c r="IJ24" i="2"/>
  <c r="IJ25" i="2"/>
  <c r="IJ26" i="2"/>
  <c r="IJ27" i="2"/>
  <c r="IJ28" i="2"/>
  <c r="IJ29" i="2"/>
  <c r="IJ30" i="2"/>
  <c r="IJ31" i="2"/>
  <c r="IJ32" i="2"/>
  <c r="IJ33" i="2"/>
  <c r="IJ34" i="2"/>
  <c r="IJ35" i="2"/>
  <c r="IJ36" i="2"/>
  <c r="IJ37" i="2"/>
  <c r="IJ38" i="2"/>
  <c r="IJ15" i="2"/>
  <c r="HQ15" i="2"/>
  <c r="HQ16" i="2"/>
  <c r="HQ17" i="2"/>
  <c r="HQ18" i="2"/>
  <c r="HQ19" i="2"/>
  <c r="HQ20" i="2"/>
  <c r="HQ21" i="2"/>
  <c r="HQ22" i="2"/>
  <c r="HQ23" i="2"/>
  <c r="HQ24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IW38" i="2"/>
  <c r="IV38" i="2"/>
  <c r="IU38" i="2"/>
  <c r="IT38" i="2"/>
  <c r="IS38" i="2"/>
  <c r="IR38" i="2"/>
  <c r="IQ38" i="2"/>
  <c r="IP38" i="2"/>
  <c r="IO38" i="2"/>
  <c r="IN38" i="2"/>
  <c r="IM38" i="2"/>
  <c r="IL38" i="2"/>
  <c r="IW37" i="2"/>
  <c r="IV37" i="2"/>
  <c r="IU37" i="2"/>
  <c r="IT37" i="2"/>
  <c r="IS37" i="2"/>
  <c r="IR37" i="2"/>
  <c r="IQ37" i="2"/>
  <c r="IP37" i="2"/>
  <c r="IO37" i="2"/>
  <c r="IN37" i="2"/>
  <c r="IM37" i="2"/>
  <c r="IL37" i="2"/>
  <c r="IW36" i="2"/>
  <c r="IV36" i="2"/>
  <c r="IU36" i="2"/>
  <c r="IT36" i="2"/>
  <c r="IS36" i="2"/>
  <c r="IR36" i="2"/>
  <c r="IQ36" i="2"/>
  <c r="IP36" i="2"/>
  <c r="IO36" i="2"/>
  <c r="IN36" i="2"/>
  <c r="IM36" i="2"/>
  <c r="IL36" i="2"/>
  <c r="IW35" i="2"/>
  <c r="IV35" i="2"/>
  <c r="IU35" i="2"/>
  <c r="IT35" i="2"/>
  <c r="IS35" i="2"/>
  <c r="IR35" i="2"/>
  <c r="IQ35" i="2"/>
  <c r="IP35" i="2"/>
  <c r="IO35" i="2"/>
  <c r="IN35" i="2"/>
  <c r="IM35" i="2"/>
  <c r="IL35" i="2"/>
  <c r="IW34" i="2"/>
  <c r="IV34" i="2"/>
  <c r="IU34" i="2"/>
  <c r="IT34" i="2"/>
  <c r="IS34" i="2"/>
  <c r="IR34" i="2"/>
  <c r="IQ34" i="2"/>
  <c r="IP34" i="2"/>
  <c r="IO34" i="2"/>
  <c r="IN34" i="2"/>
  <c r="IM34" i="2"/>
  <c r="IL34" i="2"/>
  <c r="IW33" i="2"/>
  <c r="IV33" i="2"/>
  <c r="IU33" i="2"/>
  <c r="IT33" i="2"/>
  <c r="IS33" i="2"/>
  <c r="IR33" i="2"/>
  <c r="IQ33" i="2"/>
  <c r="IP33" i="2"/>
  <c r="IO33" i="2"/>
  <c r="IN33" i="2"/>
  <c r="IM33" i="2"/>
  <c r="IL33" i="2"/>
  <c r="IW32" i="2"/>
  <c r="IV32" i="2"/>
  <c r="IU32" i="2"/>
  <c r="IT32" i="2"/>
  <c r="IS32" i="2"/>
  <c r="IR32" i="2"/>
  <c r="IQ32" i="2"/>
  <c r="IP32" i="2"/>
  <c r="IO32" i="2"/>
  <c r="IN32" i="2"/>
  <c r="IM32" i="2"/>
  <c r="IL32" i="2"/>
  <c r="IW31" i="2"/>
  <c r="IV31" i="2"/>
  <c r="IU31" i="2"/>
  <c r="IT31" i="2"/>
  <c r="IS31" i="2"/>
  <c r="IR31" i="2"/>
  <c r="IQ31" i="2"/>
  <c r="IP31" i="2"/>
  <c r="IO31" i="2"/>
  <c r="IN31" i="2"/>
  <c r="IM31" i="2"/>
  <c r="IL31" i="2"/>
  <c r="IW30" i="2"/>
  <c r="IV30" i="2"/>
  <c r="IU30" i="2"/>
  <c r="IT30" i="2"/>
  <c r="IS30" i="2"/>
  <c r="IR30" i="2"/>
  <c r="IQ30" i="2"/>
  <c r="IP30" i="2"/>
  <c r="IO30" i="2"/>
  <c r="IN30" i="2"/>
  <c r="IM30" i="2"/>
  <c r="IL30" i="2"/>
  <c r="IW29" i="2"/>
  <c r="IV29" i="2"/>
  <c r="IU29" i="2"/>
  <c r="IT29" i="2"/>
  <c r="IS29" i="2"/>
  <c r="IR29" i="2"/>
  <c r="IQ29" i="2"/>
  <c r="IP29" i="2"/>
  <c r="IO29" i="2"/>
  <c r="IN29" i="2"/>
  <c r="IM29" i="2"/>
  <c r="IL29" i="2"/>
  <c r="IW28" i="2"/>
  <c r="IV28" i="2"/>
  <c r="IU28" i="2"/>
  <c r="IT28" i="2"/>
  <c r="IS28" i="2"/>
  <c r="IR28" i="2"/>
  <c r="IQ28" i="2"/>
  <c r="IP28" i="2"/>
  <c r="IO28" i="2"/>
  <c r="IN28" i="2"/>
  <c r="IM28" i="2"/>
  <c r="IL28" i="2"/>
  <c r="IW27" i="2"/>
  <c r="IV27" i="2"/>
  <c r="IU27" i="2"/>
  <c r="IT27" i="2"/>
  <c r="IS27" i="2"/>
  <c r="IR27" i="2"/>
  <c r="IQ27" i="2"/>
  <c r="IP27" i="2"/>
  <c r="IO27" i="2"/>
  <c r="IN27" i="2"/>
  <c r="IM27" i="2"/>
  <c r="IL27" i="2"/>
  <c r="IW26" i="2"/>
  <c r="IV26" i="2"/>
  <c r="IU26" i="2"/>
  <c r="IT26" i="2"/>
  <c r="IS26" i="2"/>
  <c r="IR26" i="2"/>
  <c r="IQ26" i="2"/>
  <c r="IP26" i="2"/>
  <c r="IO26" i="2"/>
  <c r="IN26" i="2"/>
  <c r="IM26" i="2"/>
  <c r="IL26" i="2"/>
  <c r="IW25" i="2"/>
  <c r="IV25" i="2"/>
  <c r="IU25" i="2"/>
  <c r="IT25" i="2"/>
  <c r="IS25" i="2"/>
  <c r="IR25" i="2"/>
  <c r="IQ25" i="2"/>
  <c r="IP25" i="2"/>
  <c r="IO25" i="2"/>
  <c r="IN25" i="2"/>
  <c r="IM25" i="2"/>
  <c r="IL25" i="2"/>
  <c r="IW24" i="2"/>
  <c r="IV24" i="2"/>
  <c r="IU24" i="2"/>
  <c r="IT24" i="2"/>
  <c r="IS24" i="2"/>
  <c r="IR24" i="2"/>
  <c r="IQ24" i="2"/>
  <c r="IP24" i="2"/>
  <c r="IO24" i="2"/>
  <c r="IN24" i="2"/>
  <c r="IM24" i="2"/>
  <c r="IL24" i="2"/>
  <c r="IW23" i="2"/>
  <c r="IV23" i="2"/>
  <c r="IU23" i="2"/>
  <c r="IT23" i="2"/>
  <c r="IS23" i="2"/>
  <c r="IR23" i="2"/>
  <c r="IQ23" i="2"/>
  <c r="IP23" i="2"/>
  <c r="IO23" i="2"/>
  <c r="IN23" i="2"/>
  <c r="IM23" i="2"/>
  <c r="IL23" i="2"/>
  <c r="IW22" i="2"/>
  <c r="IV22" i="2"/>
  <c r="IU22" i="2"/>
  <c r="IT22" i="2"/>
  <c r="IS22" i="2"/>
  <c r="IR22" i="2"/>
  <c r="IQ22" i="2"/>
  <c r="IP22" i="2"/>
  <c r="IO22" i="2"/>
  <c r="IN22" i="2"/>
  <c r="IM22" i="2"/>
  <c r="IL22" i="2"/>
  <c r="IW21" i="2"/>
  <c r="IV21" i="2"/>
  <c r="IU21" i="2"/>
  <c r="IT21" i="2"/>
  <c r="IS21" i="2"/>
  <c r="IR21" i="2"/>
  <c r="IQ21" i="2"/>
  <c r="IP21" i="2"/>
  <c r="IO21" i="2"/>
  <c r="IN21" i="2"/>
  <c r="IM21" i="2"/>
  <c r="IL21" i="2"/>
  <c r="IW20" i="2"/>
  <c r="IV20" i="2"/>
  <c r="IU20" i="2"/>
  <c r="IT20" i="2"/>
  <c r="IS20" i="2"/>
  <c r="IR20" i="2"/>
  <c r="IQ20" i="2"/>
  <c r="IP20" i="2"/>
  <c r="IO20" i="2"/>
  <c r="IN20" i="2"/>
  <c r="IM20" i="2"/>
  <c r="IL20" i="2"/>
  <c r="IW19" i="2"/>
  <c r="IV19" i="2"/>
  <c r="IU19" i="2"/>
  <c r="IT19" i="2"/>
  <c r="IS19" i="2"/>
  <c r="IR19" i="2"/>
  <c r="IQ19" i="2"/>
  <c r="IP19" i="2"/>
  <c r="IO19" i="2"/>
  <c r="IN19" i="2"/>
  <c r="IM19" i="2"/>
  <c r="IL19" i="2"/>
  <c r="IW18" i="2"/>
  <c r="IV18" i="2"/>
  <c r="IU18" i="2"/>
  <c r="IT18" i="2"/>
  <c r="IS18" i="2"/>
  <c r="IR18" i="2"/>
  <c r="IQ18" i="2"/>
  <c r="IP18" i="2"/>
  <c r="IO18" i="2"/>
  <c r="IN18" i="2"/>
  <c r="IM18" i="2"/>
  <c r="IL18" i="2"/>
  <c r="IW17" i="2"/>
  <c r="IV17" i="2"/>
  <c r="IU17" i="2"/>
  <c r="IT17" i="2"/>
  <c r="IS17" i="2"/>
  <c r="IR17" i="2"/>
  <c r="IQ17" i="2"/>
  <c r="IP17" i="2"/>
  <c r="IO17" i="2"/>
  <c r="IN17" i="2"/>
  <c r="IM17" i="2"/>
  <c r="IL17" i="2"/>
  <c r="IW16" i="2"/>
  <c r="IV16" i="2"/>
  <c r="IU16" i="2"/>
  <c r="IT16" i="2"/>
  <c r="IS16" i="2"/>
  <c r="IR16" i="2"/>
  <c r="IQ16" i="2"/>
  <c r="IP16" i="2"/>
  <c r="IO16" i="2"/>
  <c r="IN16" i="2"/>
  <c r="IM16" i="2"/>
  <c r="IL16" i="2"/>
  <c r="IW15" i="2"/>
  <c r="IV15" i="2"/>
  <c r="IU15" i="2"/>
  <c r="IT15" i="2"/>
  <c r="IS15" i="2"/>
  <c r="IR15" i="2"/>
  <c r="IQ15" i="2"/>
  <c r="IP15" i="2"/>
  <c r="IO15" i="2"/>
  <c r="IN15" i="2"/>
  <c r="IM15" i="2"/>
  <c r="IL15" i="2"/>
  <c r="IC38" i="2"/>
  <c r="IK38" i="2"/>
  <c r="II38" i="2"/>
  <c r="IK37" i="2"/>
  <c r="II37" i="2"/>
  <c r="IK36" i="2"/>
  <c r="II36" i="2"/>
  <c r="IK35" i="2"/>
  <c r="II35" i="2"/>
  <c r="IK34" i="2"/>
  <c r="II34" i="2"/>
  <c r="IK33" i="2"/>
  <c r="II33" i="2"/>
  <c r="IK32" i="2"/>
  <c r="II32" i="2"/>
  <c r="IK31" i="2"/>
  <c r="II31" i="2"/>
  <c r="IK30" i="2"/>
  <c r="II30" i="2"/>
  <c r="IK29" i="2"/>
  <c r="II29" i="2"/>
  <c r="IK28" i="2"/>
  <c r="II28" i="2"/>
  <c r="IK27" i="2"/>
  <c r="II27" i="2"/>
  <c r="IK26" i="2"/>
  <c r="II26" i="2"/>
  <c r="IK25" i="2"/>
  <c r="II25" i="2"/>
  <c r="IK24" i="2"/>
  <c r="II24" i="2"/>
  <c r="IK23" i="2"/>
  <c r="II23" i="2"/>
  <c r="IK22" i="2"/>
  <c r="II22" i="2"/>
  <c r="IK21" i="2"/>
  <c r="II21" i="2"/>
  <c r="IK20" i="2"/>
  <c r="II20" i="2"/>
  <c r="IK19" i="2"/>
  <c r="II19" i="2"/>
  <c r="IK18" i="2"/>
  <c r="II18" i="2"/>
  <c r="IK17" i="2"/>
  <c r="II17" i="2"/>
  <c r="IK16" i="2"/>
  <c r="II16" i="2"/>
  <c r="IK15" i="2"/>
  <c r="II15" i="2"/>
  <c r="IB38" i="2"/>
  <c r="IA38" i="2"/>
  <c r="HZ38" i="2"/>
  <c r="HY38" i="2"/>
  <c r="HX38" i="2"/>
  <c r="HW38" i="2"/>
  <c r="HV38" i="2"/>
  <c r="HU38" i="2"/>
  <c r="HT38" i="2"/>
  <c r="HS38" i="2"/>
  <c r="HR38" i="2"/>
  <c r="IC37" i="2"/>
  <c r="IB37" i="2"/>
  <c r="IA37" i="2"/>
  <c r="HZ37" i="2"/>
  <c r="HY37" i="2"/>
  <c r="HX37" i="2"/>
  <c r="HW37" i="2"/>
  <c r="HV37" i="2"/>
  <c r="HU37" i="2"/>
  <c r="HT37" i="2"/>
  <c r="HS37" i="2"/>
  <c r="HR37" i="2"/>
  <c r="IC36" i="2"/>
  <c r="IB36" i="2"/>
  <c r="IA36" i="2"/>
  <c r="HZ36" i="2"/>
  <c r="HY36" i="2"/>
  <c r="HX36" i="2"/>
  <c r="HW36" i="2"/>
  <c r="HV36" i="2"/>
  <c r="HU36" i="2"/>
  <c r="HT36" i="2"/>
  <c r="HS36" i="2"/>
  <c r="HR36" i="2"/>
  <c r="IC35" i="2"/>
  <c r="IB35" i="2"/>
  <c r="IA35" i="2"/>
  <c r="HZ35" i="2"/>
  <c r="HY35" i="2"/>
  <c r="HX35" i="2"/>
  <c r="HW35" i="2"/>
  <c r="HV35" i="2"/>
  <c r="HU35" i="2"/>
  <c r="HT35" i="2"/>
  <c r="HS35" i="2"/>
  <c r="HR35" i="2"/>
  <c r="IC34" i="2"/>
  <c r="IB34" i="2"/>
  <c r="IA34" i="2"/>
  <c r="HZ34" i="2"/>
  <c r="HY34" i="2"/>
  <c r="HX34" i="2"/>
  <c r="HW34" i="2"/>
  <c r="HV34" i="2"/>
  <c r="HU34" i="2"/>
  <c r="HT34" i="2"/>
  <c r="HS34" i="2"/>
  <c r="HR34" i="2"/>
  <c r="IC33" i="2"/>
  <c r="IB33" i="2"/>
  <c r="IA33" i="2"/>
  <c r="HZ33" i="2"/>
  <c r="HY33" i="2"/>
  <c r="HX33" i="2"/>
  <c r="HW33" i="2"/>
  <c r="HV33" i="2"/>
  <c r="HU33" i="2"/>
  <c r="HT33" i="2"/>
  <c r="HS33" i="2"/>
  <c r="HR33" i="2"/>
  <c r="IC32" i="2"/>
  <c r="IB32" i="2"/>
  <c r="IA32" i="2"/>
  <c r="HZ32" i="2"/>
  <c r="HY32" i="2"/>
  <c r="HX32" i="2"/>
  <c r="HW32" i="2"/>
  <c r="HV32" i="2"/>
  <c r="HU32" i="2"/>
  <c r="HT32" i="2"/>
  <c r="HS32" i="2"/>
  <c r="HR32" i="2"/>
  <c r="IC31" i="2"/>
  <c r="IB31" i="2"/>
  <c r="IA31" i="2"/>
  <c r="HZ31" i="2"/>
  <c r="HY31" i="2"/>
  <c r="HX31" i="2"/>
  <c r="HW31" i="2"/>
  <c r="HV31" i="2"/>
  <c r="HU31" i="2"/>
  <c r="HT31" i="2"/>
  <c r="HS31" i="2"/>
  <c r="HR31" i="2"/>
  <c r="IC30" i="2"/>
  <c r="IB30" i="2"/>
  <c r="IA30" i="2"/>
  <c r="HZ30" i="2"/>
  <c r="HY30" i="2"/>
  <c r="HX30" i="2"/>
  <c r="HW30" i="2"/>
  <c r="HV30" i="2"/>
  <c r="HU30" i="2"/>
  <c r="HT30" i="2"/>
  <c r="HS30" i="2"/>
  <c r="HR30" i="2"/>
  <c r="IC29" i="2"/>
  <c r="IB29" i="2"/>
  <c r="IA29" i="2"/>
  <c r="HZ29" i="2"/>
  <c r="HY29" i="2"/>
  <c r="HX29" i="2"/>
  <c r="HW29" i="2"/>
  <c r="HV29" i="2"/>
  <c r="HU29" i="2"/>
  <c r="HT29" i="2"/>
  <c r="HS29" i="2"/>
  <c r="HR29" i="2"/>
  <c r="IC28" i="2"/>
  <c r="IB28" i="2"/>
  <c r="IA28" i="2"/>
  <c r="HZ28" i="2"/>
  <c r="HY28" i="2"/>
  <c r="HX28" i="2"/>
  <c r="HW28" i="2"/>
  <c r="HV28" i="2"/>
  <c r="HU28" i="2"/>
  <c r="HT28" i="2"/>
  <c r="HS28" i="2"/>
  <c r="HR28" i="2"/>
  <c r="IC27" i="2"/>
  <c r="IB27" i="2"/>
  <c r="IA27" i="2"/>
  <c r="HZ27" i="2"/>
  <c r="HY27" i="2"/>
  <c r="HX27" i="2"/>
  <c r="HW27" i="2"/>
  <c r="HV27" i="2"/>
  <c r="HU27" i="2"/>
  <c r="HT27" i="2"/>
  <c r="HS27" i="2"/>
  <c r="HR27" i="2"/>
  <c r="IC26" i="2"/>
  <c r="IB26" i="2"/>
  <c r="IA26" i="2"/>
  <c r="HZ26" i="2"/>
  <c r="HY26" i="2"/>
  <c r="HX26" i="2"/>
  <c r="HW26" i="2"/>
  <c r="HV26" i="2"/>
  <c r="HU26" i="2"/>
  <c r="HT26" i="2"/>
  <c r="HS26" i="2"/>
  <c r="HR26" i="2"/>
  <c r="IC25" i="2"/>
  <c r="IB25" i="2"/>
  <c r="IA25" i="2"/>
  <c r="HZ25" i="2"/>
  <c r="HY25" i="2"/>
  <c r="HX25" i="2"/>
  <c r="HW25" i="2"/>
  <c r="HV25" i="2"/>
  <c r="HU25" i="2"/>
  <c r="HT25" i="2"/>
  <c r="HS25" i="2"/>
  <c r="HR25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IC21" i="2"/>
  <c r="IB21" i="2"/>
  <c r="IA21" i="2"/>
  <c r="HZ21" i="2"/>
  <c r="HY21" i="2"/>
  <c r="HX21" i="2"/>
  <c r="HW21" i="2"/>
  <c r="ID21" i="2" s="1"/>
  <c r="HV21" i="2"/>
  <c r="HU21" i="2"/>
  <c r="HT21" i="2"/>
  <c r="HS21" i="2"/>
  <c r="HR21" i="2"/>
  <c r="IC20" i="2"/>
  <c r="IB20" i="2"/>
  <c r="IA20" i="2"/>
  <c r="HZ20" i="2"/>
  <c r="HY20" i="2"/>
  <c r="HX20" i="2"/>
  <c r="HW20" i="2"/>
  <c r="HV20" i="2"/>
  <c r="HU20" i="2"/>
  <c r="HT20" i="2"/>
  <c r="HS20" i="2"/>
  <c r="HR20" i="2"/>
  <c r="IC19" i="2"/>
  <c r="IB19" i="2"/>
  <c r="IA19" i="2"/>
  <c r="HZ19" i="2"/>
  <c r="HY19" i="2"/>
  <c r="HX19" i="2"/>
  <c r="HW19" i="2"/>
  <c r="HV19" i="2"/>
  <c r="HU19" i="2"/>
  <c r="HT19" i="2"/>
  <c r="HS19" i="2"/>
  <c r="HR19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IC16" i="2"/>
  <c r="IB16" i="2"/>
  <c r="IA16" i="2"/>
  <c r="HZ16" i="2"/>
  <c r="HY16" i="2"/>
  <c r="HX16" i="2"/>
  <c r="HW16" i="2"/>
  <c r="HV16" i="2"/>
  <c r="HU16" i="2"/>
  <c r="HT16" i="2"/>
  <c r="HS16" i="2"/>
  <c r="HR16" i="2"/>
  <c r="IC15" i="2"/>
  <c r="IB15" i="2"/>
  <c r="IA15" i="2"/>
  <c r="HZ15" i="2"/>
  <c r="HY15" i="2"/>
  <c r="HX15" i="2"/>
  <c r="HW15" i="2"/>
  <c r="HV15" i="2"/>
  <c r="HU15" i="2"/>
  <c r="HT15" i="2"/>
  <c r="HS15" i="2"/>
  <c r="HR15" i="2"/>
  <c r="HP40" i="2"/>
  <c r="HQ40" i="2" s="1"/>
  <c r="HP39" i="2"/>
  <c r="HQ39" i="2" s="1"/>
  <c r="HP38" i="2"/>
  <c r="HO38" i="2"/>
  <c r="HP37" i="2"/>
  <c r="HO37" i="2"/>
  <c r="HP36" i="2"/>
  <c r="HO36" i="2"/>
  <c r="HP35" i="2"/>
  <c r="HO35" i="2"/>
  <c r="HP34" i="2"/>
  <c r="HO34" i="2"/>
  <c r="HP33" i="2"/>
  <c r="HO33" i="2"/>
  <c r="HP32" i="2"/>
  <c r="HO32" i="2"/>
  <c r="HP31" i="2"/>
  <c r="HO31" i="2"/>
  <c r="HP30" i="2"/>
  <c r="HO30" i="2"/>
  <c r="HP29" i="2"/>
  <c r="HO29" i="2"/>
  <c r="HP28" i="2"/>
  <c r="HO28" i="2"/>
  <c r="HP27" i="2"/>
  <c r="HO27" i="2"/>
  <c r="HP26" i="2"/>
  <c r="HO26" i="2"/>
  <c r="HP25" i="2"/>
  <c r="HO25" i="2"/>
  <c r="HP24" i="2"/>
  <c r="HO24" i="2"/>
  <c r="HP23" i="2"/>
  <c r="ID23" i="2" s="1"/>
  <c r="HO23" i="2"/>
  <c r="HP22" i="2"/>
  <c r="HO22" i="2"/>
  <c r="HP21" i="2"/>
  <c r="HO21" i="2"/>
  <c r="HP20" i="2"/>
  <c r="HO20" i="2"/>
  <c r="HP19" i="2"/>
  <c r="HO19" i="2"/>
  <c r="HP18" i="2"/>
  <c r="HO18" i="2"/>
  <c r="HP17" i="2"/>
  <c r="HO17" i="2"/>
  <c r="HP16" i="2"/>
  <c r="HO16" i="2"/>
  <c r="HP15" i="2"/>
  <c r="HO15" i="2"/>
  <c r="IE18" i="2" l="1"/>
  <c r="KM33" i="2"/>
  <c r="KL16" i="2"/>
  <c r="IX19" i="2"/>
  <c r="IX24" i="2"/>
  <c r="IY16" i="2"/>
  <c r="IE38" i="2"/>
  <c r="IX17" i="2"/>
  <c r="IX27" i="2"/>
  <c r="ID36" i="2"/>
  <c r="JS34" i="2"/>
  <c r="IF28" i="2"/>
  <c r="JT31" i="2"/>
  <c r="KL29" i="2"/>
  <c r="JR19" i="2"/>
  <c r="JS24" i="2"/>
  <c r="JR29" i="2"/>
  <c r="KN21" i="2"/>
  <c r="KL22" i="2"/>
  <c r="JT20" i="2"/>
  <c r="JR34" i="2"/>
  <c r="KM16" i="2"/>
  <c r="KL19" i="2"/>
  <c r="ID28" i="2"/>
  <c r="IE36" i="2"/>
  <c r="IF26" i="2"/>
  <c r="IF16" i="2"/>
  <c r="IY31" i="2"/>
  <c r="JS20" i="2"/>
  <c r="JR21" i="2"/>
  <c r="JS25" i="2"/>
  <c r="JS29" i="2"/>
  <c r="JS30" i="2"/>
  <c r="JR20" i="2"/>
  <c r="IZ26" i="2"/>
  <c r="JR30" i="2"/>
  <c r="IY30" i="2"/>
  <c r="JT26" i="2"/>
  <c r="IF22" i="2"/>
  <c r="IZ21" i="2"/>
  <c r="KL36" i="2"/>
  <c r="KL26" i="2"/>
  <c r="IF30" i="2"/>
  <c r="ID18" i="2"/>
  <c r="IX28" i="2"/>
  <c r="IZ16" i="2"/>
  <c r="IZ31" i="2"/>
  <c r="IY36" i="2"/>
  <c r="IZ15" i="2"/>
  <c r="IY26" i="2"/>
  <c r="IE17" i="2"/>
  <c r="ID22" i="2"/>
  <c r="IF27" i="2"/>
  <c r="IF32" i="2"/>
  <c r="IE37" i="2"/>
  <c r="ID20" i="2"/>
  <c r="IX29" i="2"/>
  <c r="JT36" i="2"/>
  <c r="KN20" i="2"/>
  <c r="JS35" i="2"/>
  <c r="IF25" i="2"/>
  <c r="ID26" i="2"/>
  <c r="IF36" i="2"/>
  <c r="IZ32" i="2"/>
  <c r="IF38" i="2"/>
  <c r="IF34" i="2"/>
  <c r="IF24" i="2"/>
  <c r="JR24" i="2"/>
  <c r="KN19" i="2"/>
  <c r="IE26" i="2"/>
  <c r="IX15" i="2"/>
  <c r="IF33" i="2"/>
  <c r="KN15" i="2"/>
  <c r="KM26" i="2"/>
  <c r="KM23" i="2"/>
  <c r="IX23" i="2"/>
  <c r="JS15" i="2"/>
  <c r="IF35" i="2"/>
  <c r="ID16" i="2"/>
  <c r="ID38" i="2"/>
  <c r="IE28" i="2"/>
  <c r="IX37" i="2"/>
  <c r="KN33" i="2"/>
  <c r="IE16" i="2"/>
  <c r="IE27" i="2"/>
  <c r="IX30" i="2"/>
  <c r="IE31" i="2"/>
  <c r="IF21" i="2"/>
  <c r="KM20" i="2"/>
  <c r="KN22" i="2"/>
  <c r="KN27" i="2"/>
  <c r="KN29" i="2"/>
  <c r="IF15" i="2"/>
  <c r="IX16" i="2"/>
  <c r="IY17" i="2"/>
  <c r="IZ18" i="2"/>
  <c r="IX21" i="2"/>
  <c r="IZ22" i="2"/>
  <c r="IX26" i="2"/>
  <c r="IZ27" i="2"/>
  <c r="IZ29" i="2"/>
  <c r="IZ30" i="2"/>
  <c r="IX31" i="2"/>
  <c r="IX36" i="2"/>
  <c r="IZ37" i="2"/>
  <c r="IY38" i="2"/>
  <c r="IF17" i="2"/>
  <c r="KN18" i="2"/>
  <c r="KN36" i="2"/>
  <c r="KN30" i="2"/>
  <c r="IY19" i="2"/>
  <c r="IX20" i="2"/>
  <c r="IZ28" i="2"/>
  <c r="IE30" i="2"/>
  <c r="IF18" i="2"/>
  <c r="IF29" i="2"/>
  <c r="IF19" i="2"/>
  <c r="IX34" i="2"/>
  <c r="KN32" i="2"/>
  <c r="ID32" i="2"/>
  <c r="IY15" i="2"/>
  <c r="IE32" i="2"/>
  <c r="IY33" i="2"/>
  <c r="JR15" i="2"/>
  <c r="JT16" i="2"/>
  <c r="JS19" i="2"/>
  <c r="JT21" i="2"/>
  <c r="JR25" i="2"/>
  <c r="JR35" i="2"/>
  <c r="KM30" i="2"/>
  <c r="KN37" i="2"/>
  <c r="IZ20" i="2"/>
  <c r="IZ25" i="2"/>
  <c r="IZ35" i="2"/>
  <c r="IX18" i="2"/>
  <c r="IX33" i="2"/>
  <c r="IX38" i="2"/>
  <c r="IY22" i="2"/>
  <c r="KN28" i="2"/>
  <c r="KN34" i="2"/>
  <c r="KN25" i="2"/>
  <c r="KL21" i="2"/>
  <c r="KL23" i="2"/>
  <c r="KN35" i="2"/>
  <c r="KN17" i="2"/>
  <c r="KN23" i="2"/>
  <c r="KL31" i="2"/>
  <c r="KL33" i="2"/>
  <c r="KN24" i="2"/>
  <c r="KN31" i="2"/>
  <c r="KL32" i="2"/>
  <c r="KN38" i="2"/>
  <c r="KM36" i="2"/>
  <c r="KN16" i="2"/>
  <c r="KM19" i="2"/>
  <c r="KN26" i="2"/>
  <c r="KM29" i="2"/>
  <c r="KL15" i="2"/>
  <c r="KM22" i="2"/>
  <c r="KL25" i="2"/>
  <c r="KM32" i="2"/>
  <c r="KL35" i="2"/>
  <c r="KM15" i="2"/>
  <c r="KL18" i="2"/>
  <c r="KM25" i="2"/>
  <c r="KL28" i="2"/>
  <c r="KM35" i="2"/>
  <c r="KL38" i="2"/>
  <c r="KM18" i="2"/>
  <c r="KM28" i="2"/>
  <c r="KM38" i="2"/>
  <c r="KM21" i="2"/>
  <c r="KL24" i="2"/>
  <c r="KM31" i="2"/>
  <c r="KL34" i="2"/>
  <c r="KL17" i="2"/>
  <c r="KM24" i="2"/>
  <c r="KL27" i="2"/>
  <c r="KM34" i="2"/>
  <c r="KL37" i="2"/>
  <c r="KM17" i="2"/>
  <c r="KL20" i="2"/>
  <c r="KM27" i="2"/>
  <c r="KL30" i="2"/>
  <c r="KM37" i="2"/>
  <c r="JT32" i="2"/>
  <c r="JT18" i="2"/>
  <c r="JT27" i="2"/>
  <c r="JT23" i="2"/>
  <c r="JT28" i="2"/>
  <c r="JT33" i="2"/>
  <c r="JT38" i="2"/>
  <c r="JT17" i="2"/>
  <c r="JT37" i="2"/>
  <c r="JS16" i="2"/>
  <c r="JT19" i="2"/>
  <c r="JS21" i="2"/>
  <c r="JT24" i="2"/>
  <c r="JS26" i="2"/>
  <c r="JT29" i="2"/>
  <c r="JS31" i="2"/>
  <c r="JT34" i="2"/>
  <c r="JS36" i="2"/>
  <c r="JT22" i="2"/>
  <c r="JT15" i="2"/>
  <c r="JT25" i="2"/>
  <c r="JT30" i="2"/>
  <c r="JT35" i="2"/>
  <c r="JR18" i="2"/>
  <c r="JR23" i="2"/>
  <c r="JR28" i="2"/>
  <c r="JR33" i="2"/>
  <c r="JR38" i="2"/>
  <c r="JS18" i="2"/>
  <c r="JS23" i="2"/>
  <c r="JS28" i="2"/>
  <c r="JS33" i="2"/>
  <c r="JS38" i="2"/>
  <c r="JR17" i="2"/>
  <c r="JR22" i="2"/>
  <c r="JR27" i="2"/>
  <c r="JR32" i="2"/>
  <c r="JR37" i="2"/>
  <c r="JS17" i="2"/>
  <c r="JS22" i="2"/>
  <c r="JS27" i="2"/>
  <c r="JS32" i="2"/>
  <c r="JS37" i="2"/>
  <c r="JR16" i="2"/>
  <c r="JR26" i="2"/>
  <c r="JR31" i="2"/>
  <c r="JR36" i="2"/>
  <c r="IZ24" i="2"/>
  <c r="IZ33" i="2"/>
  <c r="IX35" i="2"/>
  <c r="IZ23" i="2"/>
  <c r="IX25" i="2"/>
  <c r="IZ34" i="2"/>
  <c r="IY20" i="2"/>
  <c r="IX22" i="2"/>
  <c r="IX32" i="2"/>
  <c r="ID15" i="2"/>
  <c r="IE15" i="2"/>
  <c r="IF31" i="2"/>
  <c r="ID27" i="2"/>
  <c r="IF37" i="2"/>
  <c r="ID34" i="2"/>
  <c r="IE29" i="2"/>
  <c r="IF20" i="2"/>
  <c r="IF23" i="2"/>
  <c r="IE20" i="2"/>
  <c r="IE22" i="2"/>
  <c r="ID17" i="2"/>
  <c r="ID30" i="2"/>
  <c r="ID37" i="2"/>
  <c r="IE21" i="2"/>
  <c r="ID31" i="2"/>
  <c r="IE33" i="2"/>
  <c r="IE19" i="2"/>
  <c r="IE23" i="2"/>
  <c r="ID19" i="2"/>
  <c r="ID29" i="2"/>
  <c r="ID24" i="2"/>
  <c r="IE34" i="2"/>
  <c r="IE24" i="2"/>
  <c r="ID35" i="2"/>
  <c r="ID25" i="2"/>
  <c r="IE35" i="2"/>
  <c r="IE25" i="2"/>
  <c r="ID33" i="2"/>
  <c r="IZ38" i="2"/>
  <c r="IY37" i="2"/>
  <c r="IZ19" i="2"/>
  <c r="IY27" i="2"/>
  <c r="IY24" i="2"/>
  <c r="IY34" i="2"/>
  <c r="IY28" i="2"/>
  <c r="IZ17" i="2"/>
  <c r="IY25" i="2"/>
  <c r="IY23" i="2"/>
  <c r="IY35" i="2"/>
  <c r="IY21" i="2"/>
  <c r="IY32" i="2"/>
  <c r="IZ36" i="2"/>
  <c r="IY18" i="2"/>
  <c r="IY29" i="2"/>
  <c r="GV41" i="2"/>
  <c r="GW41" i="2" s="1"/>
  <c r="GW17" i="2"/>
  <c r="GW18" i="2"/>
  <c r="GW19" i="2"/>
  <c r="GW20" i="2"/>
  <c r="GW21" i="2"/>
  <c r="GW22" i="2"/>
  <c r="GW23" i="2"/>
  <c r="GW24" i="2"/>
  <c r="GW25" i="2"/>
  <c r="GW26" i="2"/>
  <c r="GW27" i="2"/>
  <c r="GW28" i="2"/>
  <c r="GW29" i="2"/>
  <c r="GW30" i="2"/>
  <c r="GW31" i="2"/>
  <c r="GW32" i="2"/>
  <c r="GW33" i="2"/>
  <c r="GW34" i="2"/>
  <c r="GW35" i="2"/>
  <c r="GW36" i="2"/>
  <c r="GW37" i="2"/>
  <c r="GW38" i="2"/>
  <c r="GW39" i="2"/>
  <c r="GW16" i="2"/>
  <c r="GK20" i="2"/>
  <c r="GK15" i="2"/>
  <c r="HI39" i="2"/>
  <c r="HH39" i="2"/>
  <c r="HG39" i="2"/>
  <c r="HF39" i="2"/>
  <c r="HE39" i="2"/>
  <c r="HD39" i="2"/>
  <c r="HC39" i="2"/>
  <c r="HB39" i="2"/>
  <c r="HA39" i="2"/>
  <c r="GZ39" i="2"/>
  <c r="GY39" i="2"/>
  <c r="GX39" i="2"/>
  <c r="HI38" i="2"/>
  <c r="HH38" i="2"/>
  <c r="HG38" i="2"/>
  <c r="HF38" i="2"/>
  <c r="HE38" i="2"/>
  <c r="HD38" i="2"/>
  <c r="HC38" i="2"/>
  <c r="HB38" i="2"/>
  <c r="HA38" i="2"/>
  <c r="GZ38" i="2"/>
  <c r="GY38" i="2"/>
  <c r="GX38" i="2"/>
  <c r="HI37" i="2"/>
  <c r="HH37" i="2"/>
  <c r="HG37" i="2"/>
  <c r="HF37" i="2"/>
  <c r="HE37" i="2"/>
  <c r="HD37" i="2"/>
  <c r="HC37" i="2"/>
  <c r="HB37" i="2"/>
  <c r="HA37" i="2"/>
  <c r="GZ37" i="2"/>
  <c r="GY37" i="2"/>
  <c r="GX37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HI35" i="2"/>
  <c r="HH35" i="2"/>
  <c r="HG35" i="2"/>
  <c r="HF35" i="2"/>
  <c r="HE35" i="2"/>
  <c r="HD35" i="2"/>
  <c r="HC35" i="2"/>
  <c r="HB35" i="2"/>
  <c r="HA35" i="2"/>
  <c r="GZ35" i="2"/>
  <c r="GY35" i="2"/>
  <c r="GX35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HI33" i="2"/>
  <c r="HH33" i="2"/>
  <c r="HG33" i="2"/>
  <c r="HF33" i="2"/>
  <c r="HE33" i="2"/>
  <c r="HD33" i="2"/>
  <c r="HC33" i="2"/>
  <c r="HB33" i="2"/>
  <c r="HA33" i="2"/>
  <c r="GZ33" i="2"/>
  <c r="GY33" i="2"/>
  <c r="GX33" i="2"/>
  <c r="HI32" i="2"/>
  <c r="HH32" i="2"/>
  <c r="HG32" i="2"/>
  <c r="HF32" i="2"/>
  <c r="HE32" i="2"/>
  <c r="HD32" i="2"/>
  <c r="HC32" i="2"/>
  <c r="HB32" i="2"/>
  <c r="HA32" i="2"/>
  <c r="GZ32" i="2"/>
  <c r="GY32" i="2"/>
  <c r="GX32" i="2"/>
  <c r="HI31" i="2"/>
  <c r="HH31" i="2"/>
  <c r="HG31" i="2"/>
  <c r="HF31" i="2"/>
  <c r="HE31" i="2"/>
  <c r="HD31" i="2"/>
  <c r="HC31" i="2"/>
  <c r="HB31" i="2"/>
  <c r="HA31" i="2"/>
  <c r="GZ31" i="2"/>
  <c r="GY31" i="2"/>
  <c r="GX31" i="2"/>
  <c r="HI30" i="2"/>
  <c r="HH30" i="2"/>
  <c r="HG30" i="2"/>
  <c r="HF30" i="2"/>
  <c r="HE30" i="2"/>
  <c r="HD30" i="2"/>
  <c r="HC30" i="2"/>
  <c r="HB30" i="2"/>
  <c r="HA30" i="2"/>
  <c r="GZ30" i="2"/>
  <c r="GY30" i="2"/>
  <c r="GX30" i="2"/>
  <c r="HI29" i="2"/>
  <c r="HH29" i="2"/>
  <c r="HG29" i="2"/>
  <c r="HF29" i="2"/>
  <c r="HE29" i="2"/>
  <c r="HD29" i="2"/>
  <c r="HC29" i="2"/>
  <c r="HB29" i="2"/>
  <c r="HA29" i="2"/>
  <c r="GZ29" i="2"/>
  <c r="GY29" i="2"/>
  <c r="GX29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HI27" i="2"/>
  <c r="HH27" i="2"/>
  <c r="HG27" i="2"/>
  <c r="HF27" i="2"/>
  <c r="HE27" i="2"/>
  <c r="HD27" i="2"/>
  <c r="HC27" i="2"/>
  <c r="HB27" i="2"/>
  <c r="HA27" i="2"/>
  <c r="GZ27" i="2"/>
  <c r="GY27" i="2"/>
  <c r="GX27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HI16" i="2"/>
  <c r="HH16" i="2"/>
  <c r="HG16" i="2"/>
  <c r="HF16" i="2"/>
  <c r="HE16" i="2"/>
  <c r="HD16" i="2"/>
  <c r="HC16" i="2"/>
  <c r="HB16" i="2"/>
  <c r="HA16" i="2"/>
  <c r="GZ16" i="2"/>
  <c r="GY16" i="2"/>
  <c r="GX16" i="2"/>
  <c r="GV17" i="2"/>
  <c r="GV18" i="2"/>
  <c r="GV19" i="2"/>
  <c r="GV20" i="2"/>
  <c r="GV21" i="2"/>
  <c r="GV22" i="2"/>
  <c r="GV23" i="2"/>
  <c r="GV24" i="2"/>
  <c r="GV25" i="2"/>
  <c r="GV26" i="2"/>
  <c r="GV27" i="2"/>
  <c r="GV28" i="2"/>
  <c r="GV29" i="2"/>
  <c r="GV30" i="2"/>
  <c r="GV31" i="2"/>
  <c r="GV32" i="2"/>
  <c r="GV33" i="2"/>
  <c r="GV34" i="2"/>
  <c r="GV35" i="2"/>
  <c r="GV36" i="2"/>
  <c r="GV37" i="2"/>
  <c r="GV38" i="2"/>
  <c r="GV39" i="2"/>
  <c r="GV16" i="2"/>
  <c r="GJ15" i="2"/>
  <c r="GV40" i="2"/>
  <c r="GW40" i="2" s="1"/>
  <c r="GJ16" i="2"/>
  <c r="GK16" i="2" s="1"/>
  <c r="GU39" i="2"/>
  <c r="GU38" i="2"/>
  <c r="GU37" i="2"/>
  <c r="GU36" i="2"/>
  <c r="GU35" i="2"/>
  <c r="GU34" i="2"/>
  <c r="GU33" i="2"/>
  <c r="GU32" i="2"/>
  <c r="GU31" i="2"/>
  <c r="GU30" i="2"/>
  <c r="GU29" i="2"/>
  <c r="GU28" i="2"/>
  <c r="GU27" i="2"/>
  <c r="GU26" i="2"/>
  <c r="GU25" i="2"/>
  <c r="GU24" i="2"/>
  <c r="GU23" i="2"/>
  <c r="GU22" i="2"/>
  <c r="GU21" i="2"/>
  <c r="GU20" i="2"/>
  <c r="GU19" i="2"/>
  <c r="GU18" i="2"/>
  <c r="GU17" i="2"/>
  <c r="GU16" i="2"/>
  <c r="GP25" i="2"/>
  <c r="GQ25" i="2" s="1"/>
  <c r="GP18" i="2"/>
  <c r="GQ18" i="2" s="1"/>
  <c r="GP23" i="2"/>
  <c r="GP24" i="2"/>
  <c r="GP22" i="2"/>
  <c r="GP16" i="2"/>
  <c r="GP17" i="2"/>
  <c r="GP15" i="2"/>
  <c r="GQ15" i="2"/>
  <c r="GQ17" i="2"/>
  <c r="GQ16" i="2"/>
  <c r="GQ22" i="2"/>
  <c r="GQ24" i="2"/>
  <c r="GQ23" i="2"/>
  <c r="GR23" i="2" s="1"/>
  <c r="GO24" i="2"/>
  <c r="GO23" i="2"/>
  <c r="GO22" i="2"/>
  <c r="GO16" i="2"/>
  <c r="GO17" i="2"/>
  <c r="GO15" i="2"/>
  <c r="GM7" i="2"/>
  <c r="GL7" i="2"/>
  <c r="GM6" i="2"/>
  <c r="GL6" i="2"/>
  <c r="GM5" i="2"/>
  <c r="GL5" i="2"/>
  <c r="GJ20" i="2"/>
  <c r="GJ21" i="2"/>
  <c r="GK21" i="2" s="1"/>
  <c r="FR22" i="2"/>
  <c r="FR16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GC22" i="2"/>
  <c r="GB22" i="2"/>
  <c r="GA22" i="2"/>
  <c r="FZ22" i="2"/>
  <c r="FY22" i="2"/>
  <c r="FX22" i="2"/>
  <c r="FW22" i="2"/>
  <c r="FV22" i="2"/>
  <c r="FU22" i="2"/>
  <c r="FT22" i="2"/>
  <c r="FS22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GC16" i="2"/>
  <c r="GB16" i="2"/>
  <c r="GA16" i="2"/>
  <c r="FZ16" i="2"/>
  <c r="FX16" i="2"/>
  <c r="FW16" i="2"/>
  <c r="FV16" i="2"/>
  <c r="FU16" i="2"/>
  <c r="FT16" i="2"/>
  <c r="FS16" i="2"/>
  <c r="FP40" i="2"/>
  <c r="FQ40" i="2" s="1"/>
  <c r="FP39" i="2"/>
  <c r="FO39" i="2"/>
  <c r="FP38" i="2"/>
  <c r="FO38" i="2"/>
  <c r="FP37" i="2"/>
  <c r="FO37" i="2"/>
  <c r="FP36" i="2"/>
  <c r="FO36" i="2"/>
  <c r="FP35" i="2"/>
  <c r="FO35" i="2"/>
  <c r="FP34" i="2"/>
  <c r="FO34" i="2"/>
  <c r="FP33" i="2"/>
  <c r="FO33" i="2"/>
  <c r="FP32" i="2"/>
  <c r="FO32" i="2"/>
  <c r="FP31" i="2"/>
  <c r="FO31" i="2"/>
  <c r="FP30" i="2"/>
  <c r="FO30" i="2"/>
  <c r="FP29" i="2"/>
  <c r="FO29" i="2"/>
  <c r="FP28" i="2"/>
  <c r="FO28" i="2"/>
  <c r="FP27" i="2"/>
  <c r="FO27" i="2"/>
  <c r="FP26" i="2"/>
  <c r="FO26" i="2"/>
  <c r="FP25" i="2"/>
  <c r="FO25" i="2"/>
  <c r="FP24" i="2"/>
  <c r="FO24" i="2"/>
  <c r="FP23" i="2"/>
  <c r="FO23" i="2"/>
  <c r="FP22" i="2"/>
  <c r="FO22" i="2"/>
  <c r="FP21" i="2"/>
  <c r="FO21" i="2"/>
  <c r="FP20" i="2"/>
  <c r="FO20" i="2"/>
  <c r="FP19" i="2"/>
  <c r="FO19" i="2"/>
  <c r="FP18" i="2"/>
  <c r="FO18" i="2"/>
  <c r="FP17" i="2"/>
  <c r="FO17" i="2"/>
  <c r="FP16" i="2"/>
  <c r="FO16" i="2"/>
  <c r="FJ16" i="2"/>
  <c r="FL16" i="2" s="1"/>
  <c r="FJ17" i="2"/>
  <c r="FL17" i="2" s="1"/>
  <c r="FJ18" i="2"/>
  <c r="FL18" i="2" s="1"/>
  <c r="FJ15" i="2"/>
  <c r="FL15" i="2" s="1"/>
  <c r="FJ19" i="2"/>
  <c r="FK19" i="2" s="1"/>
  <c r="FI17" i="2"/>
  <c r="FI18" i="2"/>
  <c r="FI16" i="2"/>
  <c r="FI15" i="2"/>
  <c r="X52" i="5"/>
  <c r="X53" i="5" s="1"/>
  <c r="W53" i="5" s="1"/>
  <c r="W51" i="5"/>
  <c r="V51" i="5"/>
  <c r="W50" i="5"/>
  <c r="V50" i="5"/>
  <c r="W49" i="5"/>
  <c r="V49" i="5"/>
  <c r="W48" i="5"/>
  <c r="V48" i="5"/>
  <c r="W47" i="5"/>
  <c r="V47" i="5"/>
  <c r="W46" i="5"/>
  <c r="V46" i="5"/>
  <c r="W45" i="5"/>
  <c r="V45" i="5"/>
  <c r="AC35" i="5"/>
  <c r="AC36" i="5" s="1"/>
  <c r="AB36" i="5" s="1"/>
  <c r="AB34" i="5"/>
  <c r="AA34" i="5"/>
  <c r="W39" i="5"/>
  <c r="V40" i="5"/>
  <c r="V39" i="5"/>
  <c r="X41" i="5"/>
  <c r="X42" i="5" s="1"/>
  <c r="W42" i="5" s="1"/>
  <c r="W38" i="5"/>
  <c r="V38" i="5"/>
  <c r="W37" i="5"/>
  <c r="V37" i="5"/>
  <c r="W36" i="5"/>
  <c r="V36" i="5"/>
  <c r="W35" i="5"/>
  <c r="V35" i="5"/>
  <c r="W34" i="5"/>
  <c r="V34" i="5"/>
  <c r="S35" i="5"/>
  <c r="S36" i="5" s="1"/>
  <c r="R36" i="5" s="1"/>
  <c r="R34" i="5"/>
  <c r="Q34" i="5"/>
  <c r="N39" i="5"/>
  <c r="N40" i="5" s="1"/>
  <c r="M40" i="5" s="1"/>
  <c r="M38" i="5"/>
  <c r="L38" i="5"/>
  <c r="M37" i="5"/>
  <c r="L37" i="5"/>
  <c r="M36" i="5"/>
  <c r="L36" i="5"/>
  <c r="M35" i="5"/>
  <c r="L35" i="5"/>
  <c r="M34" i="5"/>
  <c r="L34" i="5"/>
  <c r="I40" i="5"/>
  <c r="I41" i="5" s="1"/>
  <c r="H41" i="5" s="1"/>
  <c r="H39" i="5"/>
  <c r="G39" i="5"/>
  <c r="I35" i="5"/>
  <c r="I36" i="5" s="1"/>
  <c r="H36" i="5" s="1"/>
  <c r="H34" i="5"/>
  <c r="G34" i="5"/>
  <c r="D54" i="5"/>
  <c r="D55" i="5" s="1"/>
  <c r="C55" i="5" s="1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D43" i="5"/>
  <c r="D44" i="5" s="1"/>
  <c r="C44" i="5" s="1"/>
  <c r="C35" i="5"/>
  <c r="C37" i="5"/>
  <c r="C38" i="5"/>
  <c r="C39" i="5"/>
  <c r="C40" i="5"/>
  <c r="C41" i="5"/>
  <c r="C42" i="5"/>
  <c r="C34" i="5"/>
  <c r="B35" i="5"/>
  <c r="B36" i="5"/>
  <c r="B37" i="5"/>
  <c r="B38" i="5"/>
  <c r="B39" i="5"/>
  <c r="B40" i="5"/>
  <c r="B41" i="5"/>
  <c r="B42" i="5"/>
  <c r="B34" i="5"/>
  <c r="O10" i="1"/>
  <c r="O11" i="1" s="1"/>
  <c r="W6" i="1"/>
  <c r="V6" i="1"/>
  <c r="U6" i="1"/>
  <c r="O6" i="1"/>
  <c r="N6" i="1"/>
  <c r="M6" i="1"/>
  <c r="EM24" i="2"/>
  <c r="FA32" i="2"/>
  <c r="FA18" i="2"/>
  <c r="M3" i="1"/>
  <c r="GR15" i="2" l="1"/>
  <c r="GR17" i="2"/>
  <c r="GR16" i="2"/>
  <c r="GL15" i="2"/>
  <c r="IY39" i="2"/>
  <c r="GF16" i="2"/>
  <c r="GD16" i="2"/>
  <c r="IX39" i="2"/>
  <c r="HJ21" i="2"/>
  <c r="HK21" i="2"/>
  <c r="HL21" i="2"/>
  <c r="HL16" i="2"/>
  <c r="HK16" i="2"/>
  <c r="HJ16" i="2"/>
  <c r="HJ30" i="2"/>
  <c r="HK30" i="2"/>
  <c r="HL30" i="2"/>
  <c r="HJ20" i="2"/>
  <c r="HK20" i="2"/>
  <c r="HL20" i="2"/>
  <c r="GR22" i="2"/>
  <c r="HL39" i="2"/>
  <c r="HJ39" i="2"/>
  <c r="HK39" i="2"/>
  <c r="HJ29" i="2"/>
  <c r="HK29" i="2"/>
  <c r="HL29" i="2"/>
  <c r="HJ19" i="2"/>
  <c r="HK19" i="2"/>
  <c r="HL19" i="2"/>
  <c r="HL38" i="2"/>
  <c r="HK38" i="2"/>
  <c r="HJ38" i="2"/>
  <c r="HL28" i="2"/>
  <c r="HK28" i="2"/>
  <c r="HJ28" i="2"/>
  <c r="HL18" i="2"/>
  <c r="HK18" i="2"/>
  <c r="HJ18" i="2"/>
  <c r="HL31" i="2"/>
  <c r="HJ31" i="2"/>
  <c r="HK31" i="2"/>
  <c r="HJ37" i="2"/>
  <c r="HK37" i="2"/>
  <c r="HL37" i="2"/>
  <c r="HJ27" i="2"/>
  <c r="HK27" i="2"/>
  <c r="HL27" i="2"/>
  <c r="HJ17" i="2"/>
  <c r="HK17" i="2"/>
  <c r="HL17" i="2"/>
  <c r="HK32" i="2"/>
  <c r="HL32" i="2"/>
  <c r="HJ32" i="2"/>
  <c r="HJ36" i="2"/>
  <c r="HK36" i="2"/>
  <c r="HL36" i="2"/>
  <c r="HJ26" i="2"/>
  <c r="HK26" i="2"/>
  <c r="HL26" i="2"/>
  <c r="HL35" i="2"/>
  <c r="HJ35" i="2"/>
  <c r="HK35" i="2"/>
  <c r="HL25" i="2"/>
  <c r="HK25" i="2"/>
  <c r="HJ25" i="2"/>
  <c r="HK22" i="2"/>
  <c r="HL22" i="2"/>
  <c r="HJ22" i="2"/>
  <c r="HJ34" i="2"/>
  <c r="HK34" i="2"/>
  <c r="HL34" i="2"/>
  <c r="HJ24" i="2"/>
  <c r="HK24" i="2"/>
  <c r="HL24" i="2"/>
  <c r="HJ33" i="2"/>
  <c r="HK33" i="2"/>
  <c r="HL33" i="2"/>
  <c r="HJ23" i="2"/>
  <c r="HK23" i="2"/>
  <c r="HL23" i="2"/>
  <c r="KN40" i="2"/>
  <c r="KL39" i="2"/>
  <c r="KL40" i="2"/>
  <c r="KM39" i="2"/>
  <c r="KM40" i="2"/>
  <c r="KN39" i="2"/>
  <c r="JR39" i="2"/>
  <c r="JS39" i="2"/>
  <c r="JR40" i="2"/>
  <c r="JT40" i="2"/>
  <c r="JT39" i="2"/>
  <c r="JS40" i="2"/>
  <c r="IX40" i="2"/>
  <c r="IZ40" i="2"/>
  <c r="IZ39" i="2"/>
  <c r="IY40" i="2"/>
  <c r="IY41" i="2" s="1"/>
  <c r="IE39" i="2"/>
  <c r="IE40" i="2"/>
  <c r="ID39" i="2"/>
  <c r="ID40" i="2"/>
  <c r="IF39" i="2"/>
  <c r="IF40" i="2"/>
  <c r="GR24" i="2"/>
  <c r="GN5" i="2"/>
  <c r="GL20" i="2"/>
  <c r="GN6" i="2"/>
  <c r="GN7" i="2"/>
  <c r="GD18" i="2"/>
  <c r="GD38" i="2"/>
  <c r="GD28" i="2"/>
  <c r="GE24" i="2"/>
  <c r="GE29" i="2"/>
  <c r="GE34" i="2"/>
  <c r="GE39" i="2"/>
  <c r="GD26" i="2"/>
  <c r="GD36" i="2"/>
  <c r="GD27" i="2"/>
  <c r="GD37" i="2"/>
  <c r="GE23" i="2"/>
  <c r="GE33" i="2"/>
  <c r="GD24" i="2"/>
  <c r="GD34" i="2"/>
  <c r="GE17" i="2"/>
  <c r="GE37" i="2"/>
  <c r="GE27" i="2"/>
  <c r="GF26" i="2"/>
  <c r="GF36" i="2"/>
  <c r="GE28" i="2"/>
  <c r="GE19" i="2"/>
  <c r="GE18" i="2"/>
  <c r="GE20" i="2"/>
  <c r="GE25" i="2"/>
  <c r="GE30" i="2"/>
  <c r="GE35" i="2"/>
  <c r="GD35" i="2"/>
  <c r="GE21" i="2"/>
  <c r="GE31" i="2"/>
  <c r="GD25" i="2"/>
  <c r="GD17" i="2"/>
  <c r="GE22" i="2"/>
  <c r="GE32" i="2"/>
  <c r="GE38" i="2"/>
  <c r="GF27" i="2"/>
  <c r="GF37" i="2"/>
  <c r="GF17" i="2"/>
  <c r="GF28" i="2"/>
  <c r="GF38" i="2"/>
  <c r="GF24" i="2"/>
  <c r="GF29" i="2"/>
  <c r="GF34" i="2"/>
  <c r="GF39" i="2"/>
  <c r="GF18" i="2"/>
  <c r="GF19" i="2"/>
  <c r="GF23" i="2"/>
  <c r="GF33" i="2"/>
  <c r="GF25" i="2"/>
  <c r="GF30" i="2"/>
  <c r="GF32" i="2"/>
  <c r="GF35" i="2"/>
  <c r="GF20" i="2"/>
  <c r="GF21" i="2"/>
  <c r="GF31" i="2"/>
  <c r="GF22" i="2"/>
  <c r="GD33" i="2"/>
  <c r="GD23" i="2"/>
  <c r="GE36" i="2"/>
  <c r="GE26" i="2"/>
  <c r="GD32" i="2"/>
  <c r="GD22" i="2"/>
  <c r="GD31" i="2"/>
  <c r="GD21" i="2"/>
  <c r="GD30" i="2"/>
  <c r="GD20" i="2"/>
  <c r="GD39" i="2"/>
  <c r="GD29" i="2"/>
  <c r="GD19" i="2"/>
  <c r="GE16" i="2"/>
  <c r="AB35" i="5"/>
  <c r="W41" i="5"/>
  <c r="M39" i="5"/>
  <c r="W52" i="5"/>
  <c r="H35" i="5"/>
  <c r="R35" i="5"/>
  <c r="H40" i="5"/>
  <c r="C54" i="5"/>
  <c r="C43" i="5"/>
  <c r="O2" i="1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W2" i="1"/>
  <c r="F9" i="4"/>
  <c r="H9" i="4"/>
  <c r="G9" i="4"/>
  <c r="F8" i="4"/>
  <c r="G8" i="4"/>
  <c r="H8" i="4"/>
  <c r="V4" i="1"/>
  <c r="U4" i="1"/>
  <c r="O4" i="1"/>
  <c r="N4" i="1"/>
  <c r="M4" i="1"/>
  <c r="J4" i="1"/>
  <c r="H4" i="1"/>
  <c r="F4" i="1"/>
  <c r="D4" i="1"/>
  <c r="V2" i="1"/>
  <c r="M2" i="1"/>
  <c r="N2" i="1"/>
  <c r="U19" i="1"/>
  <c r="D18" i="1"/>
  <c r="O18" i="1"/>
  <c r="N18" i="1"/>
  <c r="M18" i="1"/>
  <c r="N10" i="1"/>
  <c r="O19" i="1"/>
  <c r="N17" i="1"/>
  <c r="O17" i="1"/>
  <c r="N5" i="1"/>
  <c r="O5" i="1"/>
  <c r="O3" i="1"/>
  <c r="N3" i="1"/>
  <c r="U2" i="1"/>
  <c r="V15" i="1"/>
  <c r="V16" i="1" s="1"/>
  <c r="W15" i="1"/>
  <c r="W16" i="1" s="1"/>
  <c r="P44" i="1"/>
  <c r="M17" i="1"/>
  <c r="M10" i="1"/>
  <c r="M11" i="1" s="1"/>
  <c r="M5" i="1"/>
  <c r="W5" i="1"/>
  <c r="V5" i="1"/>
  <c r="U5" i="1"/>
  <c r="W19" i="1"/>
  <c r="W18" i="1"/>
  <c r="W17" i="1"/>
  <c r="V19" i="1"/>
  <c r="V18" i="1"/>
  <c r="V17" i="1"/>
  <c r="U18" i="1"/>
  <c r="U17" i="1"/>
  <c r="V3" i="1"/>
  <c r="W3" i="1"/>
  <c r="U3" i="1"/>
  <c r="J2" i="1"/>
  <c r="J15" i="1"/>
  <c r="J16" i="1" s="1"/>
  <c r="J19" i="1"/>
  <c r="J18" i="1"/>
  <c r="J17" i="1"/>
  <c r="J6" i="1"/>
  <c r="J5" i="1"/>
  <c r="J3" i="1"/>
  <c r="D10" i="1"/>
  <c r="D19" i="1" s="1"/>
  <c r="D17" i="1"/>
  <c r="D2" i="1"/>
  <c r="H6" i="1"/>
  <c r="D6" i="1"/>
  <c r="F6" i="1"/>
  <c r="H5" i="1"/>
  <c r="D5" i="1"/>
  <c r="D3" i="1"/>
  <c r="F3" i="1"/>
  <c r="F5" i="1"/>
  <c r="H17" i="1"/>
  <c r="F17" i="1"/>
  <c r="H18" i="1"/>
  <c r="F18" i="1"/>
  <c r="B40" i="1"/>
  <c r="B12" i="1"/>
  <c r="H12" i="1" s="1"/>
  <c r="H3" i="1"/>
  <c r="V52" i="1" l="1"/>
  <c r="V49" i="1"/>
  <c r="V51" i="1"/>
  <c r="V50" i="1"/>
  <c r="U49" i="1"/>
  <c r="U51" i="1"/>
  <c r="U50" i="1"/>
  <c r="W49" i="1"/>
  <c r="W50" i="1"/>
  <c r="W52" i="1"/>
  <c r="W51" i="1"/>
  <c r="U15" i="1"/>
  <c r="U16" i="1" s="1"/>
  <c r="U7" i="1" s="1"/>
  <c r="IX41" i="2"/>
  <c r="JS41" i="2"/>
  <c r="W8" i="1"/>
  <c r="N19" i="1"/>
  <c r="N11" i="1"/>
  <c r="KN41" i="2"/>
  <c r="KM41" i="2"/>
  <c r="KL41" i="2"/>
  <c r="JR41" i="2"/>
  <c r="JT41" i="2"/>
  <c r="IZ41" i="2"/>
  <c r="ID41" i="2"/>
  <c r="IE41" i="2"/>
  <c r="IF41" i="2"/>
  <c r="HL41" i="2"/>
  <c r="HL40" i="2"/>
  <c r="HJ41" i="2"/>
  <c r="HJ40" i="2"/>
  <c r="HK41" i="2"/>
  <c r="HK40" i="2"/>
  <c r="GE40" i="2"/>
  <c r="GD41" i="2"/>
  <c r="GF40" i="2"/>
  <c r="GF41" i="2"/>
  <c r="GD40" i="2"/>
  <c r="GE41" i="2"/>
  <c r="N8" i="1"/>
  <c r="O8" i="1"/>
  <c r="M19" i="1"/>
  <c r="M8" i="1" s="1"/>
  <c r="V7" i="1"/>
  <c r="U12" i="1"/>
  <c r="V12" i="1"/>
  <c r="V8" i="1"/>
  <c r="W7" i="1"/>
  <c r="U8" i="1"/>
  <c r="D11" i="1"/>
  <c r="W12" i="1"/>
  <c r="J8" i="1"/>
  <c r="J12" i="1"/>
  <c r="J7" i="1"/>
  <c r="D8" i="1"/>
  <c r="F12" i="1"/>
  <c r="H2" i="1"/>
  <c r="F2" i="1"/>
  <c r="F10" i="1" s="1"/>
  <c r="EZ49" i="2"/>
  <c r="FA49" i="2" s="1"/>
  <c r="EZ40" i="2"/>
  <c r="EZ33" i="2"/>
  <c r="FA33" i="2" s="1"/>
  <c r="EZ26" i="2"/>
  <c r="FA26" i="2" s="1"/>
  <c r="EZ19" i="2"/>
  <c r="FA19" i="2" s="1"/>
  <c r="EY48" i="2"/>
  <c r="EY47" i="2"/>
  <c r="EY46" i="2"/>
  <c r="EY45" i="2"/>
  <c r="EY44" i="2"/>
  <c r="EY43" i="2"/>
  <c r="FA40" i="2"/>
  <c r="EY39" i="2"/>
  <c r="EY38" i="2"/>
  <c r="EY37" i="2"/>
  <c r="EY36" i="2"/>
  <c r="EY32" i="2"/>
  <c r="EY31" i="2"/>
  <c r="EY30" i="2"/>
  <c r="EY29" i="2"/>
  <c r="EY25" i="2"/>
  <c r="EY24" i="2"/>
  <c r="EY23" i="2"/>
  <c r="EY22" i="2"/>
  <c r="EY18" i="2"/>
  <c r="EY17" i="2"/>
  <c r="EY16" i="2"/>
  <c r="EY15" i="2"/>
  <c r="EU26" i="2"/>
  <c r="EV26" i="2" s="1"/>
  <c r="EU19" i="2"/>
  <c r="EV19" i="2" s="1"/>
  <c r="EU49" i="2"/>
  <c r="EV49" i="2" s="1"/>
  <c r="EU40" i="2"/>
  <c r="EV40" i="2" s="1"/>
  <c r="EU33" i="2"/>
  <c r="EV33" i="2" s="1"/>
  <c r="FE43" i="2"/>
  <c r="FE44" i="2"/>
  <c r="FD48" i="2"/>
  <c r="FD47" i="2"/>
  <c r="FD46" i="2"/>
  <c r="FD45" i="2"/>
  <c r="FD44" i="2"/>
  <c r="FD43" i="2"/>
  <c r="FF49" i="2"/>
  <c r="FE48" i="2"/>
  <c r="FE47" i="2"/>
  <c r="FE46" i="2"/>
  <c r="FE45" i="2"/>
  <c r="FE32" i="2"/>
  <c r="FE31" i="2"/>
  <c r="FE30" i="2"/>
  <c r="FE29" i="2"/>
  <c r="FE36" i="2"/>
  <c r="FE37" i="2"/>
  <c r="FE39" i="2"/>
  <c r="FE38" i="2"/>
  <c r="FF40" i="2"/>
  <c r="FD39" i="2"/>
  <c r="FD38" i="2"/>
  <c r="FD37" i="2"/>
  <c r="FD36" i="2"/>
  <c r="FF33" i="2"/>
  <c r="FD32" i="2"/>
  <c r="FD31" i="2"/>
  <c r="FD30" i="2"/>
  <c r="FD29" i="2"/>
  <c r="FF26" i="2"/>
  <c r="FE25" i="2"/>
  <c r="FD25" i="2"/>
  <c r="FE24" i="2"/>
  <c r="FD24" i="2"/>
  <c r="FE23" i="2"/>
  <c r="FD23" i="2"/>
  <c r="FE22" i="2"/>
  <c r="FD22" i="2"/>
  <c r="FE15" i="2"/>
  <c r="FE16" i="2"/>
  <c r="FE18" i="2"/>
  <c r="FE17" i="2"/>
  <c r="FF19" i="2"/>
  <c r="ET48" i="2"/>
  <c r="ET47" i="2"/>
  <c r="ET46" i="2"/>
  <c r="ET45" i="2"/>
  <c r="ET44" i="2"/>
  <c r="ET43" i="2"/>
  <c r="ET39" i="2"/>
  <c r="ET38" i="2"/>
  <c r="ET37" i="2"/>
  <c r="ET36" i="2"/>
  <c r="ET32" i="2"/>
  <c r="ET31" i="2"/>
  <c r="ET30" i="2"/>
  <c r="ET29" i="2"/>
  <c r="ET25" i="2"/>
  <c r="ET24" i="2"/>
  <c r="ET23" i="2"/>
  <c r="ET22" i="2"/>
  <c r="ET18" i="2"/>
  <c r="ET17" i="2"/>
  <c r="ET16" i="2"/>
  <c r="ET15" i="2"/>
  <c r="EO45" i="2"/>
  <c r="EO46" i="2"/>
  <c r="EP49" i="2"/>
  <c r="EQ49" i="2" s="1"/>
  <c r="EO48" i="2"/>
  <c r="EO47" i="2"/>
  <c r="EO44" i="2"/>
  <c r="EO43" i="2"/>
  <c r="EP40" i="2"/>
  <c r="EQ40" i="2" s="1"/>
  <c r="EP33" i="2"/>
  <c r="EQ33" i="2" s="1"/>
  <c r="EO39" i="2"/>
  <c r="EO38" i="2"/>
  <c r="EO37" i="2"/>
  <c r="EO36" i="2"/>
  <c r="EO32" i="2"/>
  <c r="EO31" i="2"/>
  <c r="EO30" i="2"/>
  <c r="EO29" i="2"/>
  <c r="EP26" i="2"/>
  <c r="EQ26" i="2" s="1"/>
  <c r="EO25" i="2"/>
  <c r="EO24" i="2"/>
  <c r="EO23" i="2"/>
  <c r="EO22" i="2"/>
  <c r="EP19" i="2"/>
  <c r="EQ19" i="2" s="1"/>
  <c r="FD18" i="2"/>
  <c r="FD17" i="2"/>
  <c r="FD16" i="2"/>
  <c r="FD15" i="2"/>
  <c r="EG32" i="2"/>
  <c r="EH32" i="2" s="1"/>
  <c r="EG25" i="2"/>
  <c r="EH25" i="2" s="1"/>
  <c r="EG20" i="2"/>
  <c r="EH20" i="2" s="1"/>
  <c r="EL32" i="2"/>
  <c r="EM32" i="2" s="1"/>
  <c r="EL25" i="2"/>
  <c r="EM25" i="2" s="1"/>
  <c r="EL20" i="2"/>
  <c r="EM20" i="2" s="1"/>
  <c r="EK31" i="2"/>
  <c r="EK30" i="2"/>
  <c r="EK29" i="2"/>
  <c r="EK28" i="2"/>
  <c r="EK27" i="2"/>
  <c r="EK24" i="2"/>
  <c r="EK23" i="2"/>
  <c r="EK22" i="2"/>
  <c r="EK19" i="2"/>
  <c r="EK18" i="2"/>
  <c r="EK17" i="2"/>
  <c r="EK16" i="2"/>
  <c r="EK15" i="2"/>
  <c r="EB32" i="2"/>
  <c r="EC32" i="2" s="1"/>
  <c r="EB25" i="2"/>
  <c r="EC25" i="2" s="1"/>
  <c r="EB20" i="2"/>
  <c r="EC20" i="2" s="1"/>
  <c r="EA31" i="2"/>
  <c r="EA30" i="2"/>
  <c r="EA29" i="2"/>
  <c r="EA28" i="2"/>
  <c r="EA27" i="2"/>
  <c r="EA24" i="2"/>
  <c r="EA23" i="2"/>
  <c r="EA22" i="2"/>
  <c r="EA19" i="2"/>
  <c r="EA18" i="2"/>
  <c r="EA17" i="2"/>
  <c r="EA16" i="2"/>
  <c r="EA15" i="2"/>
  <c r="EF31" i="2"/>
  <c r="EF30" i="2"/>
  <c r="EF29" i="2"/>
  <c r="EF28" i="2"/>
  <c r="EF27" i="2"/>
  <c r="EF24" i="2"/>
  <c r="EF23" i="2"/>
  <c r="EF22" i="2"/>
  <c r="EF19" i="2"/>
  <c r="EF18" i="2"/>
  <c r="EF17" i="2"/>
  <c r="EF16" i="2"/>
  <c r="EF15" i="2"/>
  <c r="DW32" i="2"/>
  <c r="DX32" i="2" s="1"/>
  <c r="DW25" i="2"/>
  <c r="DX25" i="2" s="1"/>
  <c r="DW20" i="2"/>
  <c r="DX20" i="2" s="1"/>
  <c r="DV31" i="2"/>
  <c r="DV30" i="2"/>
  <c r="DV29" i="2"/>
  <c r="DV28" i="2"/>
  <c r="DV27" i="2"/>
  <c r="DV24" i="2"/>
  <c r="DV23" i="2"/>
  <c r="DV22" i="2"/>
  <c r="DV19" i="2"/>
  <c r="DV18" i="2"/>
  <c r="DV17" i="2"/>
  <c r="DV16" i="2"/>
  <c r="DV15" i="2"/>
  <c r="DS32" i="2"/>
  <c r="DQ31" i="2"/>
  <c r="DQ30" i="2"/>
  <c r="DQ29" i="2"/>
  <c r="DQ28" i="2"/>
  <c r="DQ27" i="2"/>
  <c r="DS25" i="2"/>
  <c r="DQ24" i="2"/>
  <c r="DQ23" i="2"/>
  <c r="DQ22" i="2"/>
  <c r="DS20" i="2"/>
  <c r="DQ19" i="2"/>
  <c r="DQ18" i="2"/>
  <c r="DQ17" i="2"/>
  <c r="DQ16" i="2"/>
  <c r="DQ15" i="2"/>
  <c r="DM26" i="2"/>
  <c r="DM27" i="2"/>
  <c r="DM29" i="2"/>
  <c r="DM28" i="2"/>
  <c r="DM25" i="2"/>
  <c r="DM22" i="2"/>
  <c r="DM21" i="2"/>
  <c r="DM20" i="2"/>
  <c r="DM17" i="2"/>
  <c r="DM16" i="2"/>
  <c r="DM15" i="2"/>
  <c r="DJ35" i="2"/>
  <c r="DH34" i="2"/>
  <c r="DH33" i="2"/>
  <c r="DH32" i="2"/>
  <c r="DH31" i="2"/>
  <c r="DH30" i="2"/>
  <c r="DH29" i="2"/>
  <c r="DH23" i="2"/>
  <c r="DH24" i="2"/>
  <c r="DJ27" i="2"/>
  <c r="DJ20" i="2"/>
  <c r="DH26" i="2"/>
  <c r="DH25" i="2"/>
  <c r="DH22" i="2"/>
  <c r="DH19" i="2"/>
  <c r="DH18" i="2"/>
  <c r="DH17" i="2"/>
  <c r="DH16" i="2"/>
  <c r="DH15" i="2"/>
  <c r="DD31" i="2"/>
  <c r="DD30" i="2"/>
  <c r="DD29" i="2"/>
  <c r="DD28" i="2"/>
  <c r="DD27" i="2"/>
  <c r="DD24" i="2"/>
  <c r="DD23" i="2"/>
  <c r="DD22" i="2"/>
  <c r="DD19" i="2"/>
  <c r="DD18" i="2"/>
  <c r="DD17" i="2"/>
  <c r="DD16" i="2"/>
  <c r="DD15" i="2"/>
  <c r="CZ20" i="2"/>
  <c r="DA20" i="2" s="1"/>
  <c r="CY19" i="2"/>
  <c r="CY18" i="2"/>
  <c r="CY17" i="2"/>
  <c r="CY16" i="2"/>
  <c r="CY15" i="2"/>
  <c r="CU22" i="2"/>
  <c r="CU20" i="2" s="1"/>
  <c r="CV20" i="2" s="1"/>
  <c r="CG15" i="2"/>
  <c r="CH15" i="2"/>
  <c r="CK15" i="2"/>
  <c r="CG16" i="2"/>
  <c r="CH16" i="2"/>
  <c r="CK16" i="2"/>
  <c r="CG17" i="2"/>
  <c r="CH17" i="2"/>
  <c r="CK17" i="2"/>
  <c r="CG20" i="2"/>
  <c r="CH20" i="2"/>
  <c r="CK20" i="2"/>
  <c r="CG21" i="2"/>
  <c r="CH21" i="2"/>
  <c r="CK21" i="2"/>
  <c r="CG22" i="2"/>
  <c r="CH22" i="2"/>
  <c r="CK22" i="2"/>
  <c r="CG26" i="2"/>
  <c r="CH26" i="2"/>
  <c r="CK26" i="2"/>
  <c r="CG27" i="2"/>
  <c r="CH27" i="2"/>
  <c r="CK27" i="2"/>
  <c r="CG28" i="2"/>
  <c r="CH28" i="2"/>
  <c r="CK28" i="2"/>
  <c r="CG29" i="2"/>
  <c r="CH29" i="2"/>
  <c r="CK29" i="2"/>
  <c r="BW41" i="2"/>
  <c r="BX41" i="2" s="1"/>
  <c r="BW39" i="2"/>
  <c r="BX39" i="2" s="1"/>
  <c r="BR27" i="2"/>
  <c r="BR26" i="2"/>
  <c r="BR29" i="2"/>
  <c r="BR28" i="2"/>
  <c r="BR22" i="2"/>
  <c r="BR20" i="2"/>
  <c r="BR17" i="2"/>
  <c r="BR15" i="2"/>
  <c r="BR21" i="2"/>
  <c r="BR16" i="2"/>
  <c r="BM36" i="2"/>
  <c r="BM35" i="2"/>
  <c r="BM34" i="2"/>
  <c r="BM33" i="2"/>
  <c r="BM27" i="2"/>
  <c r="BM26" i="2"/>
  <c r="BM29" i="2"/>
  <c r="BM28" i="2"/>
  <c r="BM21" i="2"/>
  <c r="BM22" i="2"/>
  <c r="BM20" i="2"/>
  <c r="BM15" i="2"/>
  <c r="BM17" i="2"/>
  <c r="BM16" i="2"/>
  <c r="BM30" i="2"/>
  <c r="BN30" i="2" s="1"/>
  <c r="BM18" i="2"/>
  <c r="BN18" i="2" s="1"/>
  <c r="BM37" i="2"/>
  <c r="BN37" i="2" s="1"/>
  <c r="BM23" i="2"/>
  <c r="BN23" i="2" s="1"/>
  <c r="BX42" i="2"/>
  <c r="BX40" i="2"/>
  <c r="BU38" i="2"/>
  <c r="BU37" i="2"/>
  <c r="BU36" i="2"/>
  <c r="BU35" i="2"/>
  <c r="BU34" i="2"/>
  <c r="BU33" i="2"/>
  <c r="BU32" i="2"/>
  <c r="BU31" i="2"/>
  <c r="BU30" i="2"/>
  <c r="BS30" i="2"/>
  <c r="BU29" i="2"/>
  <c r="BU28" i="2"/>
  <c r="BU27" i="2"/>
  <c r="BU26" i="2"/>
  <c r="BU25" i="2"/>
  <c r="BU24" i="2"/>
  <c r="BU23" i="2"/>
  <c r="BS23" i="2"/>
  <c r="BU22" i="2"/>
  <c r="BU21" i="2"/>
  <c r="BU20" i="2"/>
  <c r="BU19" i="2"/>
  <c r="BU18" i="2"/>
  <c r="BS18" i="2"/>
  <c r="BU17" i="2"/>
  <c r="BU16" i="2"/>
  <c r="BU15" i="2"/>
  <c r="BB39" i="2"/>
  <c r="BC39" i="2" s="1"/>
  <c r="BB41" i="2"/>
  <c r="BC41" i="2" s="1"/>
  <c r="AR29" i="2"/>
  <c r="AR28" i="2"/>
  <c r="AR27" i="2"/>
  <c r="AR26" i="2"/>
  <c r="AR34" i="2"/>
  <c r="AR33" i="2"/>
  <c r="AR36" i="2"/>
  <c r="AR35" i="2"/>
  <c r="AR37" i="2"/>
  <c r="AS37" i="2" s="1"/>
  <c r="AR30" i="2"/>
  <c r="AS30" i="2" s="1"/>
  <c r="AR18" i="2"/>
  <c r="AS18" i="2" s="1"/>
  <c r="AR22" i="2"/>
  <c r="AR20" i="2"/>
  <c r="AR17" i="2"/>
  <c r="AR15" i="2"/>
  <c r="AR21" i="2"/>
  <c r="AR16" i="2"/>
  <c r="AX37" i="2"/>
  <c r="AW36" i="2"/>
  <c r="AW35" i="2"/>
  <c r="AW34" i="2"/>
  <c r="AW33" i="2"/>
  <c r="AW30" i="2"/>
  <c r="AX30" i="2" s="1"/>
  <c r="AW29" i="2"/>
  <c r="AW28" i="2"/>
  <c r="AW27" i="2"/>
  <c r="AW26" i="2"/>
  <c r="AX23" i="2"/>
  <c r="AW22" i="2"/>
  <c r="AW21" i="2"/>
  <c r="AW20" i="2"/>
  <c r="AW18" i="2"/>
  <c r="AX18" i="2" s="1"/>
  <c r="AW17" i="2"/>
  <c r="AW16" i="2"/>
  <c r="AW15" i="2"/>
  <c r="BC42" i="2"/>
  <c r="BC40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S23" i="2"/>
  <c r="AZ22" i="2"/>
  <c r="AZ21" i="2"/>
  <c r="AZ20" i="2"/>
  <c r="AZ19" i="2"/>
  <c r="AZ18" i="2"/>
  <c r="AZ17" i="2"/>
  <c r="AZ16" i="2"/>
  <c r="AZ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15" i="2"/>
  <c r="L39" i="2"/>
  <c r="M39" i="2" s="1"/>
  <c r="L40" i="2"/>
  <c r="M40" i="2" s="1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15" i="2"/>
  <c r="AG41" i="2"/>
  <c r="AH41" i="2" s="1"/>
  <c r="AG42" i="2"/>
  <c r="AH42" i="2" s="1"/>
  <c r="AG39" i="2"/>
  <c r="AH39" i="2" s="1"/>
  <c r="AG40" i="2"/>
  <c r="AH40" i="2" s="1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B36" i="2"/>
  <c r="AB35" i="2"/>
  <c r="AB34" i="2"/>
  <c r="AB33" i="2"/>
  <c r="AB27" i="2"/>
  <c r="AB26" i="2"/>
  <c r="AB29" i="2"/>
  <c r="AB28" i="2"/>
  <c r="AB30" i="2"/>
  <c r="AC30" i="2" s="1"/>
  <c r="AB37" i="2"/>
  <c r="AC37" i="2" s="1"/>
  <c r="AB23" i="2"/>
  <c r="AC23" i="2" s="1"/>
  <c r="AB18" i="2"/>
  <c r="AC18" i="2" s="1"/>
  <c r="AB21" i="2"/>
  <c r="AB22" i="2"/>
  <c r="AB20" i="2"/>
  <c r="AB17" i="2"/>
  <c r="AB15" i="2"/>
  <c r="AB16" i="2"/>
  <c r="W37" i="2"/>
  <c r="X37" i="2" s="1"/>
  <c r="W30" i="2"/>
  <c r="X30" i="2" s="1"/>
  <c r="W36" i="2"/>
  <c r="W35" i="2"/>
  <c r="W34" i="2"/>
  <c r="W33" i="2"/>
  <c r="W23" i="2"/>
  <c r="X23" i="2" s="1"/>
  <c r="W18" i="2"/>
  <c r="X18" i="2" s="1"/>
  <c r="W27" i="2"/>
  <c r="W26" i="2"/>
  <c r="W29" i="2"/>
  <c r="W28" i="2"/>
  <c r="W21" i="2"/>
  <c r="W22" i="2"/>
  <c r="W20" i="2"/>
  <c r="W15" i="2"/>
  <c r="W17" i="2"/>
  <c r="W16" i="2"/>
  <c r="L16" i="2"/>
  <c r="L17" i="2"/>
  <c r="L18" i="2"/>
  <c r="L19" i="2"/>
  <c r="L20" i="2"/>
  <c r="L21" i="2"/>
  <c r="L22" i="2"/>
  <c r="L15" i="2"/>
  <c r="L36" i="2"/>
  <c r="L37" i="2"/>
  <c r="L38" i="2"/>
  <c r="L35" i="2"/>
  <c r="L32" i="2"/>
  <c r="L33" i="2"/>
  <c r="L34" i="2"/>
  <c r="L31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15" i="2"/>
  <c r="K36" i="2"/>
  <c r="K37" i="2"/>
  <c r="K38" i="2"/>
  <c r="K35" i="2"/>
  <c r="K32" i="2"/>
  <c r="K33" i="2"/>
  <c r="K34" i="2"/>
  <c r="K31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15" i="2"/>
  <c r="G37" i="2"/>
  <c r="H37" i="2" s="1"/>
  <c r="G36" i="2"/>
  <c r="G35" i="2"/>
  <c r="G34" i="2"/>
  <c r="G33" i="2"/>
  <c r="G30" i="2"/>
  <c r="H30" i="2" s="1"/>
  <c r="G27" i="2"/>
  <c r="G26" i="2"/>
  <c r="G29" i="2"/>
  <c r="G28" i="2"/>
  <c r="H23" i="2"/>
  <c r="G21" i="2"/>
  <c r="G22" i="2"/>
  <c r="G20" i="2"/>
  <c r="G15" i="2"/>
  <c r="G17" i="2"/>
  <c r="G16" i="2"/>
  <c r="G18" i="2"/>
  <c r="H18" i="2" s="1"/>
  <c r="C27" i="2"/>
  <c r="C26" i="2"/>
  <c r="C29" i="2"/>
  <c r="C28" i="2"/>
  <c r="C21" i="2"/>
  <c r="C22" i="2"/>
  <c r="C20" i="2"/>
  <c r="C15" i="2"/>
  <c r="C17" i="2"/>
  <c r="C16" i="2"/>
  <c r="CP27" i="2"/>
  <c r="CP26" i="2"/>
  <c r="CP29" i="2"/>
  <c r="CP28" i="2"/>
  <c r="CP22" i="2"/>
  <c r="CP20" i="2"/>
  <c r="CP15" i="2"/>
  <c r="CP17" i="2"/>
  <c r="CP21" i="2"/>
  <c r="CP16" i="2"/>
  <c r="CO29" i="2"/>
  <c r="CO28" i="2"/>
  <c r="CO27" i="2"/>
  <c r="CO26" i="2"/>
  <c r="CO22" i="2"/>
  <c r="CO21" i="2"/>
  <c r="CO20" i="2"/>
  <c r="CO17" i="2"/>
  <c r="CO16" i="2"/>
  <c r="CO15" i="2"/>
  <c r="CL27" i="2"/>
  <c r="CL26" i="2"/>
  <c r="CL29" i="2"/>
  <c r="CL28" i="2"/>
  <c r="CL22" i="2"/>
  <c r="CL20" i="2"/>
  <c r="CL15" i="2"/>
  <c r="CL17" i="2"/>
  <c r="CL16" i="2"/>
  <c r="CL21" i="2"/>
  <c r="AA23" i="3"/>
  <c r="AA22" i="3"/>
  <c r="AA21" i="3"/>
  <c r="AK20" i="3"/>
  <c r="AG20" i="3"/>
  <c r="AA20" i="3"/>
  <c r="AI19" i="3"/>
  <c r="AE19" i="3"/>
  <c r="AN18" i="3"/>
  <c r="AI18" i="3"/>
  <c r="AE18" i="3"/>
  <c r="AN17" i="3"/>
  <c r="AI17" i="3"/>
  <c r="AE17" i="3"/>
  <c r="AA17" i="3"/>
  <c r="AN16" i="3"/>
  <c r="AI16" i="3"/>
  <c r="AE16" i="3"/>
  <c r="AA16" i="3"/>
  <c r="AN15" i="3"/>
  <c r="AI15" i="3"/>
  <c r="AE15" i="3"/>
  <c r="AA15" i="3"/>
  <c r="EO18" i="2"/>
  <c r="EO17" i="2"/>
  <c r="EO16" i="2"/>
  <c r="EO15" i="2"/>
  <c r="CT17" i="2"/>
  <c r="CT18" i="2"/>
  <c r="CT19" i="2"/>
  <c r="CT15" i="2"/>
  <c r="CT16" i="2"/>
  <c r="HL42" i="2" l="1"/>
  <c r="GD42" i="2"/>
  <c r="GE42" i="2"/>
  <c r="HJ42" i="2"/>
  <c r="HK42" i="2"/>
  <c r="GF42" i="2"/>
  <c r="F15" i="1"/>
  <c r="F16" i="1" s="1"/>
  <c r="F7" i="1" s="1"/>
  <c r="F11" i="1"/>
  <c r="F19" i="1"/>
  <c r="F8" i="1" s="1"/>
  <c r="H10" i="1"/>
  <c r="H19" i="1" l="1"/>
  <c r="H8" i="1" s="1"/>
  <c r="H15" i="1"/>
  <c r="H11" i="1"/>
  <c r="H16" i="1" l="1"/>
  <c r="H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tc={4E22C16E-EFC9-704C-B70A-836D48A98DD8}</author>
    <author>tc={1CCD8B11-5F3D-3846-94A6-D382D0889867}</author>
    <author>tc={E01B6E17-E292-4C44-85C3-3851D92B4F5F}</author>
    <author>tc={03BFBE06-21D5-2C4D-99D9-4C8C45137ED7}</author>
    <author>tc={D8285F8F-1C22-D046-A6C6-633731A14F53}</author>
    <author>tc={9353AD07-469D-0341-B7C1-2D4FFD30EE4C}</author>
    <author>tc={23F4B564-12A4-E44D-BF14-10406283DC88}</author>
    <author>tc={7A16BA51-A494-D449-A257-68FE718473FB}</author>
    <author>tc={6CDD2FA0-95D9-AA4A-AB00-B2BD03E8CC3E}</author>
    <author>tc={D8D682BE-73C9-9D43-AF05-073BBC89BC55}</author>
    <author>tc={705653D8-CD09-2E45-885E-671E64ED0570}</author>
    <author>tc={234C0340-6E9C-0042-A0AA-37A58D166EE8}</author>
    <author>tc={D6B21071-F777-0F47-8934-9DF91760E3BF}</author>
    <author>tc={16945A97-81D2-9C48-9C60-D71204EE71A5}</author>
    <author>tc={9EBE2FC1-A631-A74F-9539-79BC1601704C}</author>
    <author>tc={21C3E175-05F8-BC4B-9BB7-C43A148A63DF}</author>
    <author>tc={B694072B-4BAA-F14F-96F8-FCA78577E33D}</author>
  </authors>
  <commentList>
    <comment ref="D2" authorId="0" shapeId="0" xr:uid="{4E22C16E-EFC9-704C-B70A-836D48A98DD8}">
      <text>
        <t>[Threaded comment]
Your version of Excel allows you to read this threaded comment; however, any edits to it will get removed if the file is opened in a newer version of Excel. Learn more: https://go.microsoft.com/fwlink/?linkid=870924
Comment:
    l/km diesel</t>
      </text>
    </comment>
    <comment ref="M2" authorId="1" shapeId="0" xr:uid="{1CCD8B11-5F3D-3846-94A6-D382D0889867}">
      <text>
        <t>[Threaded comment]
Your version of Excel allows you to read this threaded comment; however, any edits to it will get removed if the file is opened in a newer version of Excel. Learn more: https://go.microsoft.com/fwlink/?linkid=870924
Comment:
    l/km diesel</t>
      </text>
    </comment>
    <comment ref="P2" authorId="2" shapeId="0" xr:uid="{E01B6E17-E292-4C44-85C3-3851D92B4F5F}">
      <text>
        <t>[Threaded comment]
Your version of Excel allows you to read this threaded comment; however, any edits to it will get removed if the file is opened in a newer version of Excel. Learn more: https://go.microsoft.com/fwlink/?linkid=870924
Comment:
    l/km diesel</t>
      </text>
    </comment>
    <comment ref="E6" authorId="3" shapeId="0" xr:uid="{03BFBE06-21D5-2C4D-99D9-4C8C45137ED7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  <comment ref="G6" authorId="4" shapeId="0" xr:uid="{D8285F8F-1C22-D046-A6C6-633731A14F53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  <comment ref="I6" authorId="5" shapeId="0" xr:uid="{9353AD07-469D-0341-B7C1-2D4FFD30EE4C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  <comment ref="K6" authorId="6" shapeId="0" xr:uid="{23F4B564-12A4-E44D-BF14-10406283DC88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  <comment ref="N6" authorId="7" shapeId="0" xr:uid="{7A16BA51-A494-D449-A257-68FE718473FB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  <comment ref="R6" authorId="8" shapeId="0" xr:uid="{6CDD2FA0-95D9-AA4A-AB00-B2BD03E8CC3E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  <comment ref="D9" authorId="9" shapeId="0" xr:uid="{D8D682BE-73C9-9D43-AF05-073BBC89BC55}">
      <text>
        <t>[Threaded comment]
Your version of Excel allows you to read this threaded comment; however, any edits to it will get removed if the file is opened in a newer version of Excel. Learn more: https://go.microsoft.com/fwlink/?linkid=870924
Comment:
    liters</t>
      </text>
    </comment>
    <comment ref="M9" authorId="10" shapeId="0" xr:uid="{705653D8-CD09-2E45-885E-671E64ED0570}">
      <text>
        <t>[Threaded comment]
Your version of Excel allows you to read this threaded comment; however, any edits to it will get removed if the file is opened in a newer version of Excel. Learn more: https://go.microsoft.com/fwlink/?linkid=870924
Comment:
    liters</t>
      </text>
    </comment>
    <comment ref="P9" authorId="11" shapeId="0" xr:uid="{234C0340-6E9C-0042-A0AA-37A58D166EE8}">
      <text>
        <t>[Threaded comment]
Your version of Excel allows you to read this threaded comment; however, any edits to it will get removed if the file is opened in a newer version of Excel. Learn more: https://go.microsoft.com/fwlink/?linkid=870924
Comment:
    liters</t>
      </text>
    </comment>
    <comment ref="D11" authorId="12" shapeId="0" xr:uid="{D6B21071-F777-0F47-8934-9DF91760E3B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refuel time cost for diesel trucks</t>
      </text>
    </comment>
    <comment ref="M11" authorId="13" shapeId="0" xr:uid="{16945A97-81D2-9C48-9C60-D71204EE71A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refuel time cost for diesel trucks</t>
      </text>
    </comment>
    <comment ref="P11" authorId="14" shapeId="0" xr:uid="{9EBE2FC1-A631-A74F-9539-79BC1601704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refuel time cost for diesel trucks</t>
      </text>
    </comment>
    <comment ref="B12" authorId="15" shapeId="0" xr:uid="{21C3E175-05F8-BC4B-9BB7-C43A148A63DF}">
      <text>
        <t>[Threaded comment]
Your version of Excel allows you to read this threaded comment; however, any edits to it will get removed if the file is opened in a newer version of Excel. Learn more: https://go.microsoft.com/fwlink/?linkid=870924
Comment:
    battery-to-wheels efficiency</t>
      </text>
    </comment>
    <comment ref="E14" authorId="16" shapeId="0" xr:uid="{B694072B-4BAA-F14F-96F8-FCA78577E33D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</commentList>
</comments>
</file>

<file path=xl/sharedStrings.xml><?xml version="1.0" encoding="utf-8"?>
<sst xmlns="http://schemas.openxmlformats.org/spreadsheetml/2006/main" count="2044" uniqueCount="574">
  <si>
    <t>vehicle_type_id</t>
  </si>
  <si>
    <t>r</t>
  </si>
  <si>
    <t>v</t>
  </si>
  <si>
    <t>cc</t>
  </si>
  <si>
    <t>co</t>
  </si>
  <si>
    <t>cm</t>
  </si>
  <si>
    <t>cy</t>
  </si>
  <si>
    <t>QMAX</t>
  </si>
  <si>
    <t>EMIN</t>
  </si>
  <si>
    <t>EMAX</t>
  </si>
  <si>
    <t>PMAX</t>
  </si>
  <si>
    <t>EV Class 8: Tesla Semi 500 miles</t>
  </si>
  <si>
    <t>[kWh/km] Electric consumption per unit distance</t>
  </si>
  <si>
    <t>[$/km] Amortized vehicle maintenance cost</t>
  </si>
  <si>
    <t>[$/kWh] Nominal cycle cost to minimize V2G actions</t>
  </si>
  <si>
    <t>[kg] Maximum payload limit for all vehicles</t>
  </si>
  <si>
    <t>[kWh] Minimum EV battery SOE limit</t>
  </si>
  <si>
    <t>[kWh] Maximum EV battery SOE limit</t>
  </si>
  <si>
    <t>[kW] EV inverter size limiting charge and discharge</t>
  </si>
  <si>
    <t>Source</t>
  </si>
  <si>
    <t>https://www.tesla.com/semi</t>
  </si>
  <si>
    <t>km/mile</t>
  </si>
  <si>
    <t>https://www.trucks.com/2019/09/05/everything-we-know-about-the-tesla-semi-truck/</t>
  </si>
  <si>
    <t>kg/lb</t>
  </si>
  <si>
    <t>https://seekingalpha.com/instablog/227454-john-petersen/2323012-data-on-class-8-tractor-trailer-combination-weights</t>
  </si>
  <si>
    <t>https://www.paragonrouting.com/en-us/blog/post/want-optimize-your-fleet-know-your-average-trucking-cost-mile/</t>
  </si>
  <si>
    <t>https://electrek.co/2020/06/06/tesla-battery-degradation-replacement/</t>
  </si>
  <si>
    <t>[$/vehicle/horizon] Amortized capital cost for purchasing a vehicle</t>
  </si>
  <si>
    <t>Timestep Size (hrs)</t>
  </si>
  <si>
    <t>Time Horizon (T)</t>
  </si>
  <si>
    <t>Utility</t>
  </si>
  <si>
    <t>Southern California Edison</t>
  </si>
  <si>
    <t>Tariff Library</t>
  </si>
  <si>
    <t>https://library.sce.com/?10000_group.propertyvalues.property=jcr%3Acontent%2Fmetadata%2Fcq%3Atags&amp;10000_group.propertyvalues.operation=equals&amp;10000_group.propertyvalues.0_values=sce-document-library%3Aregulatory%2Fsce-tariff-books%2Felectric%2Fschedules%2Fgeneral-service-%26-industrial-rates</t>
  </si>
  <si>
    <t>Fixed Energy Price</t>
  </si>
  <si>
    <t>Time-of-Use (TOU) Energy Price</t>
  </si>
  <si>
    <t>Schedule</t>
  </si>
  <si>
    <t>GS-1: General Service, Non-Demand</t>
  </si>
  <si>
    <t>TOU-GS-1 Option E: Time-of-Use General Service</t>
  </si>
  <si>
    <t>TOU-GS-1 Option D: Time-of-Use General Service</t>
  </si>
  <si>
    <t>TOU-GS-1-RTP Option D: General Service, Small, Real-Time Pricing</t>
  </si>
  <si>
    <t>TOU-EV-7 Option E: Time-of-Use General Service Electric Vehicle Charging</t>
  </si>
  <si>
    <t>TOU-EV-7 Option D: Time-of-Use General Service Electric Vehicle Charging</t>
  </si>
  <si>
    <t>Effective</t>
  </si>
  <si>
    <t>Service Voltage</t>
  </si>
  <si>
    <t>&lt;2kV</t>
  </si>
  <si>
    <t>Size</t>
  </si>
  <si>
    <t>&lt;20kW</t>
  </si>
  <si>
    <t>Time</t>
  </si>
  <si>
    <t>Timestep</t>
  </si>
  <si>
    <t>Summer Rate ($/kWh)</t>
  </si>
  <si>
    <t>Weekday Summer Rate ($/kWh)</t>
  </si>
  <si>
    <t>Hot Summer (&gt;=91) Weekday Rate ($/kWh)</t>
  </si>
  <si>
    <t>Winter Rate ($/kWh)</t>
  </si>
  <si>
    <t>Demand Charge ($/kW)</t>
  </si>
  <si>
    <t>Facilities+On-Peak</t>
  </si>
  <si>
    <t>Weekday Winter Rate ($/kWh)</t>
  </si>
  <si>
    <t>Facilities+Mid-Peak</t>
  </si>
  <si>
    <t>20kW-500kW</t>
  </si>
  <si>
    <t>TOU-EV-8: GENERAL SERVICE TIME-OF-USE
 ELECTRIC VEHICLE CHARGING - DEMAND METERED</t>
  </si>
  <si>
    <t>https://www.pge.com/tariffs/index.page</t>
  </si>
  <si>
    <t>Pacific Gas &amp; Electric</t>
  </si>
  <si>
    <t>BEV-1: Business Electric Vehicles</t>
  </si>
  <si>
    <t>&lt;100kW</t>
  </si>
  <si>
    <t>Rate ($/kWh)</t>
  </si>
  <si>
    <t>Subscription Charge</t>
  </si>
  <si>
    <t>&gt;100kW</t>
  </si>
  <si>
    <t>BEV-2: Business Electric Vehicles</t>
  </si>
  <si>
    <t>San Diego Gas &amp; Electric</t>
  </si>
  <si>
    <t>https://www.sdge.com/rates-and-regulations/current-and-effective-tariffs</t>
  </si>
  <si>
    <t>&lt;500kW</t>
  </si>
  <si>
    <t>TOU-M: Bundled EV Interim</t>
  </si>
  <si>
    <t>https://edisonintl.sharepoint.com/teams/Public/TM2/Shared%20Documents/Forms/AllItems.aspx?id=%2Fteams%2FPublic%2FTM2%2FShared%20Documents%2FPublic%2FRegulatory%2FTariff%2DSCE%20Tariff%20Books%2FElectric%2FSchedules%2FGeneral%20Service%20%26%20Industrial%20Rates&amp;p=true&amp;ga=1</t>
  </si>
  <si>
    <t>Closed to new customers:</t>
  </si>
  <si>
    <t>EV-3, EV-4, EV-6</t>
  </si>
  <si>
    <t xml:space="preserve">The summer season shall commence at 12:00 a.m. on June 1 and continue until 12:00 a.m. on October 1 of each year. </t>
  </si>
  <si>
    <t xml:space="preserve">The winter season shall commence at 12:00 a.m. on October 1 and continue until 12:00 a.m. on June 1. </t>
  </si>
  <si>
    <t>Weekend Summer Rate ($/kWh)</t>
  </si>
  <si>
    <t>Weekend Winter Rate ($/kWh)</t>
  </si>
  <si>
    <t xml:space="preserve">TOU-EV-9: GENERAL SERVICE TIME-OF-USE, ELECTRIC VEHICLE CHARGING, LARGE DEMAND METERED </t>
  </si>
  <si>
    <t>&gt;500kW</t>
  </si>
  <si>
    <t>EV Rates</t>
  </si>
  <si>
    <t xml:space="preserve">EV Rates: For  the  first  five  years,  commencing  March  1,  2019,  no  Demand  Charge  shall  apply  to  Customers  receiving  service  under  this  Schedule.    After  the  five-year  introductory  period,  and  commencing  on  March 1, 2024, Demand Charge shall be phased-in unless otherwise authorized by the Commission. </t>
  </si>
  <si>
    <t>Time Horizons per Months</t>
  </si>
  <si>
    <t>Weekdays Winter Rate ($/kWh)</t>
  </si>
  <si>
    <t>TOU-GS-1-RTP: General Service, Small, Real-Time Pricing</t>
  </si>
  <si>
    <t>Summer T&amp;D+</t>
  </si>
  <si>
    <t>Winter T&amp;D+</t>
  </si>
  <si>
    <t>Add T&amp;D to URG rate based on temperature</t>
  </si>
  <si>
    <t>Mild Summer Weekday (&lt;=80)</t>
  </si>
  <si>
    <t>High Cost Winter Weekday (&gt;90)</t>
  </si>
  <si>
    <t>Low Cost Winter Weekday (&lt;=90)</t>
  </si>
  <si>
    <t>High Cost Weekend (&gt;=78)</t>
  </si>
  <si>
    <t>Low Cost Weekend (&lt;78)</t>
  </si>
  <si>
    <t>Facilities</t>
  </si>
  <si>
    <t>TOU-GS-2 Option E: Time-of-Use General Service Demand Metered</t>
  </si>
  <si>
    <t>TOU-GS-2 Option D: Time-of-Use General Service Demand Metered</t>
  </si>
  <si>
    <t>TOU-GS-2-RTP: General Service, Medium, Real-Time Pricing</t>
  </si>
  <si>
    <t>Summer Weekday</t>
  </si>
  <si>
    <t>Summer Weekend</t>
  </si>
  <si>
    <t>Winter Weekday</t>
  </si>
  <si>
    <t>Winter Weekend</t>
  </si>
  <si>
    <t>20-200kW</t>
  </si>
  <si>
    <t>Summer Weekend/Winter</t>
  </si>
  <si>
    <t>200-500kW</t>
  </si>
  <si>
    <t>TOU-GS-3 Option E: Time-of-Use General Service Demand Metered</t>
  </si>
  <si>
    <t>TOU-GS-3 Option D: Time-of-Use General Service Demand Metered</t>
  </si>
  <si>
    <t>TOU-GS-3-RTP: General Service, Medium, Real-Time Pricing</t>
  </si>
  <si>
    <t>*EV-7 D/E same until 5-years from 2019 when demand charges may be added</t>
  </si>
  <si>
    <t>TOU-8 Option E: Time-of-Use General Service  Large</t>
  </si>
  <si>
    <t>TOU-8 Option D: Time-of-Use General Service  Large</t>
  </si>
  <si>
    <t>TOU-8-RTP: General Service, Large, Real-Time Pricing</t>
  </si>
  <si>
    <t>Moderate Summer Weekday (81-90) ($/kWh)</t>
  </si>
  <si>
    <t>Block Size (kW)</t>
  </si>
  <si>
    <t>Subscription Charge (per block)</t>
  </si>
  <si>
    <t>Subscription Charge ($/kW)</t>
  </si>
  <si>
    <t>Overage Fee ($/kW)</t>
  </si>
  <si>
    <t>Estimated Subscription Charge ($/kW</t>
  </si>
  <si>
    <t>A-1, A-6, A-10, E-19 and E-20</t>
  </si>
  <si>
    <t>B-1: Small General Service</t>
  </si>
  <si>
    <t>&gt;75kW</t>
  </si>
  <si>
    <t>Oct-Feb Winter Rate ($/kWh)</t>
  </si>
  <si>
    <t>Mar-May Winter Rate ($/kWh)</t>
  </si>
  <si>
    <t>B1-ST: Small General Service, Storage (15,000 customers)</t>
  </si>
  <si>
    <t>Demand Charge</t>
  </si>
  <si>
    <t>On-Peak (2pm-11pm)</t>
  </si>
  <si>
    <t>B-6: Small General Time-of-Use Service</t>
  </si>
  <si>
    <t>B-10: Medium General Demand-Metered Service</t>
  </si>
  <si>
    <t>75-499kW</t>
  </si>
  <si>
    <t>Total</t>
  </si>
  <si>
    <t>Ignores CPP charges</t>
  </si>
  <si>
    <t>Ignores PDP charges</t>
  </si>
  <si>
    <t>B-19: Medium General Demand-Metered TOU Service</t>
  </si>
  <si>
    <t>Max+Peak</t>
  </si>
  <si>
    <t>B-20: Service to Customers with Maximum Demands of 1000 KiloWatts or More</t>
  </si>
  <si>
    <t>500-999kW</t>
  </si>
  <si>
    <t>&gt;1000kW</t>
  </si>
  <si>
    <t>B-19 Option S (Storage): Medium General Demand-Metered TOU Service</t>
  </si>
  <si>
    <t>Max+Peak Per Days</t>
  </si>
  <si>
    <t>B-20 Option S (Storage): Service to Customers with Maximum Demands of 1000 KiloWatts or More</t>
  </si>
  <si>
    <t>≥20kW</t>
  </si>
  <si>
    <t>EV-HP</t>
  </si>
  <si>
    <t>Fleet Charging</t>
  </si>
  <si>
    <t>EECC</t>
  </si>
  <si>
    <t>https://tariff.sdge.com/tm2/ssi/inc_elec_rates_commodity.html</t>
  </si>
  <si>
    <t>Demand Charges</t>
  </si>
  <si>
    <t>Subscription+Max On-Peak</t>
  </si>
  <si>
    <t>Nov-Feb, May Weekday Winter Rate ($/kWh)</t>
  </si>
  <si>
    <t>Nov-Feb, May Weekend Summer Rate ($/kWh)</t>
  </si>
  <si>
    <t>March, April Weekday Winter Rate ($/kWh)</t>
  </si>
  <si>
    <t>AL-TOU</t>
  </si>
  <si>
    <t>&lt;40kW</t>
  </si>
  <si>
    <t>Deman Charge</t>
  </si>
  <si>
    <t>Non-Coincident</t>
  </si>
  <si>
    <t>TOU-M</t>
  </si>
  <si>
    <t>Non-coincident+Max On-Peak</t>
  </si>
  <si>
    <t>AL-TOU2</t>
  </si>
  <si>
    <t>Non-coincident+Max On-Peak+TOU Demand</t>
  </si>
  <si>
    <t>t_H</t>
  </si>
  <si>
    <t>t_S</t>
  </si>
  <si>
    <t>[km/hr] Vehicle average speed for vehicle</t>
  </si>
  <si>
    <t>[$/hr] Vehicle operating cost (wages)</t>
  </si>
  <si>
    <t>EV Class 8: Tesla Semi 300 miles</t>
  </si>
  <si>
    <t>FROM:</t>
  </si>
  <si>
    <t>https://pubs.acs.org/doi/full/10.1021/acsenergylett.7b00432</t>
  </si>
  <si>
    <t>avg. annual distance (class 8) [miles]</t>
  </si>
  <si>
    <t>avg. daily distance (class 8) [miles]</t>
  </si>
  <si>
    <t>avg. daily driving time (class 8) [hours]</t>
  </si>
  <si>
    <t>[300, 600]</t>
  </si>
  <si>
    <t>[8, 16]</t>
  </si>
  <si>
    <t>avg. payload (class 8) [kg]</t>
  </si>
  <si>
    <t>[14500, 20000]</t>
  </si>
  <si>
    <t>gross vehicle weight (GVW) [kg]</t>
  </si>
  <si>
    <t>eff</t>
  </si>
  <si>
    <t>[fraction] One-way battery efficiency</t>
  </si>
  <si>
    <t>specific energy [Wh/kg]</t>
  </si>
  <si>
    <t>empty vehicle weight</t>
  </si>
  <si>
    <t>[7000, 10000] for EV; [6000, 8000] based on diesel vehicles</t>
  </si>
  <si>
    <t>[220, 300]</t>
  </si>
  <si>
    <t>[27000, 36000]; US allows Electric Trucks to be 0.9 tons (2000 lbs) more than diesel GVWR</t>
  </si>
  <si>
    <t>[kg]</t>
  </si>
  <si>
    <t>battery/fuel weight</t>
  </si>
  <si>
    <t>gross vehicle weight (GVW)</t>
  </si>
  <si>
    <t>capital cost</t>
  </si>
  <si>
    <t>[$]</t>
  </si>
  <si>
    <t>https://www.energy.gov/eere/vehicles/fact-671-april-18-2011-average-truck-speeds</t>
  </si>
  <si>
    <t>https://www.bts.gov/browse-statistical-products-and-data/freight-facts-and-figures/average-hourly-wages-select-freight</t>
  </si>
  <si>
    <t>https://www.bts.gov/browse-statistical-products-and-data/freight-facts-and-figures/average-truck-speeds-select</t>
  </si>
  <si>
    <t>https://www.bts.gov/browse-statistical-products-and-data/freight-facts-and-figures/combination-truck-fuel-consumption</t>
  </si>
  <si>
    <t>RESOURCES</t>
  </si>
  <si>
    <t>Truck operating costs (not used)</t>
  </si>
  <si>
    <t>avg, speed [mph]</t>
  </si>
  <si>
    <t>amortization periods</t>
  </si>
  <si>
    <t>annual discount rate</t>
  </si>
  <si>
    <t>vehicle years</t>
  </si>
  <si>
    <t>l/gal</t>
  </si>
  <si>
    <t>https://www.nrel.gov/docs/fy22osti/82081.pdf</t>
  </si>
  <si>
    <t>Li-ion cost [$/kWh]</t>
  </si>
  <si>
    <t>[150,300]</t>
  </si>
  <si>
    <t>battery cost</t>
  </si>
  <si>
    <t>annual degradation %</t>
  </si>
  <si>
    <t>https://www.barrons.com/articles/tesla-stock-ev-batteries-commodities-51654536274#:~:text=That's%20good%20new%20for%20Tesla,kilowatt%2Dhour%2C%20or%20kWh.</t>
  </si>
  <si>
    <t>amortized battery cost</t>
  </si>
  <si>
    <t>[$/vehicle/horizon]</t>
  </si>
  <si>
    <t>https://www.tesla.com/support/vehicle-warranty#:~:text=Battery%20and%20Drive%20Unit%20Limited%20Warranty,-The%20Battery%20and&amp;text=8%20years%20or%20100%2C000%20miles,capacity%20over%20the%20warranty%20period.&amp;text=8%20years%20or%20120%2C000%20miles,capacity%20over%20the%20warranty%20period.</t>
  </si>
  <si>
    <t>https://www.pensketruckleasing.com/pdfs/Freightliner_Cascadia-113.pdf</t>
  </si>
  <si>
    <t>N/A</t>
  </si>
  <si>
    <t>diesel density [kg/l]</t>
  </si>
  <si>
    <t>https://www.sciencedirect.com/topics/engineering/diesel-fuel</t>
  </si>
  <si>
    <t>CV Class 8: Freightliner Cascadia 116 Day Cab</t>
  </si>
  <si>
    <t>BYD 8TT-ER</t>
  </si>
  <si>
    <t>https://californiahvip.org/vehicles/byd-8tt-tandem-axle-tractor/</t>
  </si>
  <si>
    <t>https://en.byd.com/news/press-release-buses-delivery-vans-and-garbage-trucks-are-the-electric-vehicles-next-door/</t>
  </si>
  <si>
    <t>https://blogs.edf.org/climate411/files/2022/02/EDF-MDHD-Electrification-v1.6_20220209.pdf</t>
  </si>
  <si>
    <t>EDF MDHV Electrification Costs for MY 2027-2030</t>
  </si>
  <si>
    <t>Class 8: Diesel Low</t>
  </si>
  <si>
    <t>Class 8: Diesel Reference</t>
  </si>
  <si>
    <t>Class 8: Diesel High</t>
  </si>
  <si>
    <t>Class 8: EV Low</t>
  </si>
  <si>
    <t>Class 8: EV Reference</t>
  </si>
  <si>
    <t>Class 8: EV High</t>
  </si>
  <si>
    <t>https://gasprices.aaa.com/state-gas-price-averages/</t>
  </si>
  <si>
    <t>Region</t>
  </si>
  <si>
    <t>Southern CA</t>
  </si>
  <si>
    <t>Site</t>
  </si>
  <si>
    <t>tA</t>
  </si>
  <si>
    <t>tB</t>
  </si>
  <si>
    <t>Service Time</t>
  </si>
  <si>
    <t>t_T</t>
  </si>
  <si>
    <t>STATIC PARAMETERS</t>
  </si>
  <si>
    <t>LOCATIONS</t>
  </si>
  <si>
    <t>Facility Sq. Ft.</t>
  </si>
  <si>
    <t>Address</t>
  </si>
  <si>
    <t>6948 Otay Mesa Rd, San Diego, CA 92154</t>
  </si>
  <si>
    <t>d_x (LON)</t>
  </si>
  <si>
    <t>d_y (LAT)</t>
  </si>
  <si>
    <t>Stories</t>
  </si>
  <si>
    <t>https://timesofsandiego.com/business/2021/09/21/amazon-shows-off-new-3-million-foot-robot-filled-san3-center-in-otay-mesa/</t>
  </si>
  <si>
    <t>ComStock County</t>
  </si>
  <si>
    <t>ComStock Bldg Id</t>
  </si>
  <si>
    <t>CA_SanDiegoCounty_G0600730</t>
  </si>
  <si>
    <t>165757-0.parquet</t>
  </si>
  <si>
    <t>11263 Oleander Ave, Fontana, CA 92337, United States</t>
  </si>
  <si>
    <t>CA_SanBernardinoCounty_G0600710</t>
  </si>
  <si>
    <t>157141-0.parquet</t>
  </si>
  <si>
    <t>https://en.wikipedia.org/wiki/List_of_Amazon_locations#United_States</t>
  </si>
  <si>
    <t>SAN3 - San Diego Amazon FC</t>
  </si>
  <si>
    <t>LAX9 - Fontana Amazon FC</t>
  </si>
  <si>
    <t>LGB6 - Riverside Amazon FC</t>
  </si>
  <si>
    <t>OXR1 - Oxnard Amazon FC</t>
  </si>
  <si>
    <t>BFL1 - Bakersfield Amazon FC</t>
  </si>
  <si>
    <t>https://www.pressenterprise.com/2018/01/12/city-of-riverside-is-getting-its-first-1-million-square-foot-amazon-fulfillment-center/</t>
  </si>
  <si>
    <t>20901 Krameria Ave, Riverside, CA 92508, United States</t>
  </si>
  <si>
    <t>CA_RiversideCounty_G0600650</t>
  </si>
  <si>
    <t>189454-0.parquet</t>
  </si>
  <si>
    <t>Central Valley CA</t>
  </si>
  <si>
    <t>https://www.pacbiztimes.com/2022/04/14/amazon-ramps-up-giant-new-facility-in-oxnard/#:~:text=(City%20of%20Oxnard%20courtesy%20photo,square%2Dfoot%20Oxnard%20fulfillment%20center%E2%80%A6</t>
  </si>
  <si>
    <t>CA_VenturaCounty_G0601110</t>
  </si>
  <si>
    <t>3100 Sakioka Dr, Oxnard, CA 93030, United States</t>
  </si>
  <si>
    <t>SDG&amp;E</t>
  </si>
  <si>
    <t>SCE</t>
  </si>
  <si>
    <t>PG&amp;E</t>
  </si>
  <si>
    <t>FAT1 - Fresno Amazon FC</t>
  </si>
  <si>
    <t>Northern CA</t>
  </si>
  <si>
    <t>OAK5 - Newark Amazon FC</t>
  </si>
  <si>
    <t>SMF1 - Sacramento Amazon FC</t>
  </si>
  <si>
    <t>38811 Cherry St, Newark, CA 94560, United States</t>
  </si>
  <si>
    <t>OAK3 - Patterson Amazon FC</t>
  </si>
  <si>
    <t>255 Park Center Dr, Patterson, CA 95363, United States</t>
  </si>
  <si>
    <t>4900 W Elkhorn Blvd, Sacramento, CA 95835, United States</t>
  </si>
  <si>
    <t>3923 S B St, Stockton, CA 95206, United States</t>
  </si>
  <si>
    <t>SMF3 - Stockton Amazon FC</t>
  </si>
  <si>
    <t>3575 S Orange Ave, Fresno, CA 93725, United States</t>
  </si>
  <si>
    <t>1601 Petrol Rd, Bakersfield, CA 93308, United States</t>
  </si>
  <si>
    <t>https://www.graycor.com/projects/bfl1#:~:text=A%202.6M%20square%2Dfoot,with%20three%20full%20mezzanine%20levels.</t>
  </si>
  <si>
    <t>CA_KernCounty_G0600290</t>
  </si>
  <si>
    <t>311182-0.parquet</t>
  </si>
  <si>
    <t>221254-0.parquet</t>
  </si>
  <si>
    <t>avg. diesel fuel cost [$/l]</t>
  </si>
  <si>
    <t>Estimated Subscription Charge ($/kW)</t>
  </si>
  <si>
    <t>O&amp;M costs</t>
  </si>
  <si>
    <t>Hunter, C.,  Penev, M., Reznicek, E., Lustbader, J., Birky, A. &amp; Zhang, C. 2021. Spatial and Temporal Analysis of the Total Cost of Ownership for Class 8 Tractors and Class 4 Parcel Delivery Trucks. National Renewable Energy Laboratory, NREL/TP-5400-71796.</t>
  </si>
  <si>
    <t>Texas</t>
  </si>
  <si>
    <t>East Coast</t>
  </si>
  <si>
    <t>China</t>
  </si>
  <si>
    <t>ABE5 - Norristown Amazon FC</t>
  </si>
  <si>
    <t>2455 Boulevard of the Generals, Norristown, PA 19403, United States</t>
  </si>
  <si>
    <t>JFK8 - Staten Island Amazon FC</t>
  </si>
  <si>
    <t>546 Gulf Ave, Staten Island, NY 10314, United States</t>
  </si>
  <si>
    <t>JFK2 - Manhattan Amazon FC</t>
  </si>
  <si>
    <t>7 W 34th St., New York, NY 10001, United States</t>
  </si>
  <si>
    <t>https://www.cnet.com/tech/services-and-software/why-amazon-built-a-warehouse-inside-a-midtown-manhattan-office-tower/</t>
  </si>
  <si>
    <t>https://www.sunshipecommerce.com/amazon-jfk8-fulfillment-center-unites-man-machine/</t>
  </si>
  <si>
    <t>https://gist.github.com/lifewinning/9e889d3e5b556ceff5f3</t>
  </si>
  <si>
    <t>PECO</t>
  </si>
  <si>
    <t>ConEd Zone J</t>
  </si>
  <si>
    <t>https://www.cnbc.com/2022/09/01/amazon-took-solar-rooftops-offline-last-year-after-fires-explosions.html</t>
  </si>
  <si>
    <t>https://www.sacbee.com/news/business/article234617597.html#:~:text=The%20center%2C%20known%20as%20Amazon,a%20recent%20Wednesday%20afternoon%20wearing</t>
  </si>
  <si>
    <t>https://www.recordnet.com/story/news/local/2020/09/05/amazon-opened-new-stockton-based-sorting-facility-this-week/5730634002/</t>
  </si>
  <si>
    <t>HOU2 - Houston Amazon FC</t>
  </si>
  <si>
    <t>10550 Ella Blvd, Houston, TX 77038, United States</t>
  </si>
  <si>
    <t>https://www.bizjournals.com/houston/news/2018/09/07/photos-tour-amazon-fulfillment-center-in-north.html#:~:text=HOU2%20is%20one%20of%20nine,equipment%2C%20sports%20gear%20and%20electronics.</t>
  </si>
  <si>
    <t>AUS2 - Austin Amazon FC</t>
  </si>
  <si>
    <t>2000 E Pecan St, Pflugerville, TX 78660</t>
  </si>
  <si>
    <t>https://www.kxan.com/news/business/pflugerville-amazon-announce-820k-square-foot-fulfillment-center-to-open-in-2021/</t>
  </si>
  <si>
    <t>Austin Energy</t>
  </si>
  <si>
    <t>Oncor</t>
  </si>
  <si>
    <t>CPS Energy</t>
  </si>
  <si>
    <t>SAT1 - San Antonio Amazon FC</t>
  </si>
  <si>
    <t>6000 Enterprise Avenue,  Schertz, TX 78154-1461</t>
  </si>
  <si>
    <t>700 Westport Pkwy, Fort Worth, TX 76177, United States</t>
  </si>
  <si>
    <t>DFW7 - Fort Worth Amazon FC</t>
  </si>
  <si>
    <t>33333 Lyndon B Johnson Fwy, Dallas, TX 75241, United States</t>
  </si>
  <si>
    <t>FTW1 - Dallas Amazon FC</t>
  </si>
  <si>
    <t>CA_AlamedaCounty_G0600010</t>
  </si>
  <si>
    <t>126822-0.parquet</t>
  </si>
  <si>
    <t>CA_SacramentoCounty_G0600670</t>
  </si>
  <si>
    <t>232629-0.parquet</t>
  </si>
  <si>
    <t>CA_StanislausCounty_G0600990</t>
  </si>
  <si>
    <t>Shanghai</t>
  </si>
  <si>
    <t>Nanjing-Jiangsu</t>
  </si>
  <si>
    <t>Suzhou-Jiangsu</t>
  </si>
  <si>
    <t>Wuxi-Jiangsu</t>
  </si>
  <si>
    <t>Changzhou-Jiangsu</t>
  </si>
  <si>
    <t>Hangzhou-Zhejiang</t>
  </si>
  <si>
    <t>Ningbo-Zhejiang</t>
  </si>
  <si>
    <t>75925-0.parquet</t>
  </si>
  <si>
    <t>CA_SanJoaquinCounty_G0600770</t>
  </si>
  <si>
    <t>160158-0.parquet</t>
  </si>
  <si>
    <t>CA_FresnoCounty_G0600190</t>
  </si>
  <si>
    <t>255573-0.parquet</t>
  </si>
  <si>
    <t>TX_HarrisCounty_G4802010</t>
  </si>
  <si>
    <t>253249-0.parquet</t>
  </si>
  <si>
    <t>TX_TravisCounty_G4804530</t>
  </si>
  <si>
    <t>342290-0.parquet</t>
  </si>
  <si>
    <t>TX_BexarCounty_G4800290</t>
  </si>
  <si>
    <t>222706-0.parquet</t>
  </si>
  <si>
    <t>TX_TarrantCounty_G4804390</t>
  </si>
  <si>
    <t>87929-0.parquet</t>
  </si>
  <si>
    <t>TX_DallasCounty_G4801130</t>
  </si>
  <si>
    <t>298010-0.parquet</t>
  </si>
  <si>
    <t>PA_MontgomeryCounty_G4200910</t>
  </si>
  <si>
    <t>56288-0.parquet</t>
  </si>
  <si>
    <t>NY_RichmondCounty_G3600850</t>
  </si>
  <si>
    <t>309686-0.parquet</t>
  </si>
  <si>
    <t>NY_NewYorkCounty_G3600610</t>
  </si>
  <si>
    <t>176294-0.parquet</t>
  </si>
  <si>
    <t>https://www.sf-express.com/cn/sc/download/Special_Warehouse_Service_CN_EN.pdf</t>
  </si>
  <si>
    <t>1. Shanghai</t>
  </si>
  <si>
    <t>https://www.in-en.com/article/html/energy-2298879.shtml</t>
  </si>
  <si>
    <t>2. Jiangsu</t>
  </si>
  <si>
    <t>http://jsdrc.jiangsu.gov.cn/art/2020/11/3/art_319_9574172.html</t>
  </si>
  <si>
    <t>1) Option 1:</t>
  </si>
  <si>
    <t>Peak(8-11,13-15,18-21)</t>
  </si>
  <si>
    <t>Normal(6-8,11-13,15-18,21-22)</t>
  </si>
  <si>
    <t>Valley(22-6)</t>
  </si>
  <si>
    <t>Peak(8-12, 17-21)</t>
  </si>
  <si>
    <t>Normal(12-17, 21-24)</t>
  </si>
  <si>
    <t>Valley(24-8)</t>
  </si>
  <si>
    <t>Summer</t>
  </si>
  <si>
    <t>Peak(8-11,18-21)</t>
  </si>
  <si>
    <t>Normal(6-8,11-18,21-22)</t>
  </si>
  <si>
    <t>Other</t>
  </si>
  <si>
    <t>2) Option 2:</t>
  </si>
  <si>
    <t>Price</t>
  </si>
  <si>
    <t>transformer capacity</t>
  </si>
  <si>
    <t>40 Yuan/(kW*month)</t>
  </si>
  <si>
    <t>30 Yuan/(kVA*month)</t>
  </si>
  <si>
    <t>42 Yuan/(kW*month)</t>
  </si>
  <si>
    <t>28 Yuan/(kVA*month)</t>
  </si>
  <si>
    <t>3. Zhejiang</t>
  </si>
  <si>
    <t>http://www.zj.gov.cn/art/2020/11/26/art_1229203592_2147123.html</t>
  </si>
  <si>
    <t>Peak(19-21)</t>
  </si>
  <si>
    <t>Normal(8-11,13-19,21-22)</t>
  </si>
  <si>
    <t>Valley(11-13,22-8)</t>
  </si>
  <si>
    <t>Summer (July-August)</t>
  </si>
  <si>
    <t>All season</t>
  </si>
  <si>
    <t>888 Yutang Rd, 888, Jiading District, China, 201823</t>
  </si>
  <si>
    <t>Shanghai Province</t>
  </si>
  <si>
    <t>6 Chen Guang Da Dao, 溧水县 Nanjing, Jiangsu, China, 211212</t>
  </si>
  <si>
    <t>Jiangsu Province</t>
  </si>
  <si>
    <t>Zhejiang Province</t>
  </si>
  <si>
    <t>NOTE: SF-Express is the largest express logistics service and solution provider in Mainland China, providing domestics and international logistics service.</t>
  </si>
  <si>
    <t>China, Jiang Su Sheng, Su Zhou Shi, Kun Shan Shi, 金陵东路1号 邮政编码: 215347</t>
  </si>
  <si>
    <t>GF65+FR Xinwu District, Wuxi, Wuxi, Jiangsu, China</t>
  </si>
  <si>
    <t>6 Xiaoxie Rd, Xinbei District, Changzhou, Jiangsu, China, 213132</t>
  </si>
  <si>
    <t>32MX+46P, Dongqiao Rd, Fuyang District, Hangzhou, Zhejiang, China, 311418</t>
  </si>
  <si>
    <t>VFC6+65 Haishu District, Ningbo, Zhejiang, China</t>
  </si>
  <si>
    <t>1) Option 1: Large-scale Utilities, 1-10 kV, Time varying charge, in the unit of Yuan/kWh, Shanghai state grid</t>
  </si>
  <si>
    <t>2) Option 2: Large-scale Utilities, 1-10 kV, Constant charge, in the unit of Yuan/kWh, Shanghai state grid</t>
  </si>
  <si>
    <t>Large-scale Utilities, 1-10kV, Time varying charge, in the unit of Yuan/kWh, Jiangsu state grid</t>
  </si>
  <si>
    <t>Large-scale Utilities,1-10kV, Constant charge, in the unit of Yuan/kWh, Jiangsu state grid</t>
  </si>
  <si>
    <t>1) Option 1: Large-scale Utilities, 1-10kV, Time varying charge, in the unit of Yuan/kWh, Zhejiang state grid</t>
  </si>
  <si>
    <t>2) Option 2: Large-scale Utilities, 1-10kV, Constant charge, in the unit of Yuan/kWh, Zhejiang state grid</t>
  </si>
  <si>
    <t>USD per Yuan</t>
  </si>
  <si>
    <t>1-10kV</t>
  </si>
  <si>
    <t>Large-scale Utilities</t>
  </si>
  <si>
    <t xml:space="preserve">Option 1: Large-scale Utilities, 1-10 kV, Time varying charge, in the unit of Yuan/kWh, Shanghai state grid	</t>
  </si>
  <si>
    <t>Assume same as US utility seasons</t>
  </si>
  <si>
    <t>Summer Rate (Yuan/kWh)</t>
  </si>
  <si>
    <t>Winter Rate (Yuan/kWh)</t>
  </si>
  <si>
    <t>Summer Rate (USD/kWh)</t>
  </si>
  <si>
    <t>Winter Rate (USD/kWh)</t>
  </si>
  <si>
    <t>Demand Charge ($/kW/Month)</t>
  </si>
  <si>
    <t>Demand Charge ($/kW/Day)</t>
  </si>
  <si>
    <t>Demand Charge + Transformer Capacity</t>
  </si>
  <si>
    <t>Option 2: Large-scale Utilities, 1-10 kV, Constant charge, in the unit of Yuan/kWh, Shanghai state grid</t>
  </si>
  <si>
    <t>Option 1: Large-scale Utilities, 1-10kV, Time varying charge, in the unit of Yuan/kWh, Jiangsu state grid</t>
  </si>
  <si>
    <t>Rate (USD/kWh)</t>
  </si>
  <si>
    <t>Rate (Yuan/kWh)</t>
  </si>
  <si>
    <t>Option 2: Large-scale Utilities,1-10kV, Constant charge, in the unit of Yuan/kWh, Jiangsu state grid</t>
  </si>
  <si>
    <t>Option 1: Large-scale Utilities, 1-10kV, Time varying charge, in the unit of Yuan/kWh, Zhejiang state grid</t>
  </si>
  <si>
    <t>Option 2: Large-scale Utilities, 1-10kV, Constant charge, in the unit of Yuan/kWh, Zhejiang state grid</t>
  </si>
  <si>
    <t>https://www.peco.com/MyAccount/MyBillUsage/Pages/CurrentElectric.aspx</t>
  </si>
  <si>
    <t>GS Delivery Rate ($/kWh)</t>
  </si>
  <si>
    <t>GS (GSA 2) Supply Rate ($/kWh)</t>
  </si>
  <si>
    <t>GS Small C&amp;I - (GSA 2) Class 1/2 - TOU</t>
  </si>
  <si>
    <t>Delivery Service Charge+Transmission Service Charge</t>
  </si>
  <si>
    <t>HT</t>
  </si>
  <si>
    <t>PJM PECO LMP Avg. Rate ($/kWh)</t>
  </si>
  <si>
    <t>Delivery Service Charge+Transmission Service Charge+PECO Zonal Capacity Prices from RPM 2021/2022</t>
  </si>
  <si>
    <t>MAX</t>
  </si>
  <si>
    <t>MIN</t>
  </si>
  <si>
    <t>DIFF</t>
  </si>
  <si>
    <t>https://www.pjm.com/markets-and-operations/rpm.aspx</t>
  </si>
  <si>
    <t>PJM Capacity Market (RPM)</t>
  </si>
  <si>
    <t>PJM DAH LMPs</t>
  </si>
  <si>
    <t>https://dataminer2.pjm.com/feed/da_hrl_lmps/definition</t>
  </si>
  <si>
    <t>HT Large C&amp;I - Class 3/4 - PJM DA Hourly (PECO LMP Avg. 11/22/21-11/22/22)</t>
  </si>
  <si>
    <t>HT Delivery Rate ($/kWh)</t>
  </si>
  <si>
    <t>HT Hourly Price Adder ($/kWh)</t>
  </si>
  <si>
    <t>https://lite.coned.com/_external/cerates/elec.asp</t>
  </si>
  <si>
    <t>Delivery Rate ($/kWh)</t>
  </si>
  <si>
    <t>June-Sep. Weekday Rate ($/kWh)</t>
  </si>
  <si>
    <t>Oct.-May Weekday Rate ($/kWh)</t>
  </si>
  <si>
    <t>Weekday Rate ($/kWh)</t>
  </si>
  <si>
    <t>ConEd</t>
  </si>
  <si>
    <t>NYISO DAH LMP</t>
  </si>
  <si>
    <t>http://www.energyonline.com/Data/GenericData.aspx?DataId=11&amp;NYISO___Day-Ahead_Energy_Price</t>
  </si>
  <si>
    <t>LT</t>
  </si>
  <si>
    <t>SC 9 - Rate I - General Large - Zone J</t>
  </si>
  <si>
    <t>Summer: June through September</t>
  </si>
  <si>
    <t>Energy Delivery+MAC+MAC Adjustments+SBC+RDMA+CESDC+DRS+TSC</t>
  </si>
  <si>
    <t>Summer Demand Charge ($/kW)</t>
  </si>
  <si>
    <t>Winter Demand Charge ($/kW)</t>
  </si>
  <si>
    <t>Summer Demand Delivery+DLMS+EVMRS+MSC</t>
  </si>
  <si>
    <t>Winter Demand Delivery+DLMS+EVMRS+MSC</t>
  </si>
  <si>
    <t>ConEd MSC Calculator</t>
  </si>
  <si>
    <t>https://www.coned.com/en/accounts-billing/your-bill/rate-calculators/market-supply-charge</t>
  </si>
  <si>
    <t>Summer Supply Rate ($/kWh)</t>
  </si>
  <si>
    <t>MSC+MFC+CESSS</t>
  </si>
  <si>
    <t>Winter Supply Rate ($/kWh)</t>
  </si>
  <si>
    <t>MSC+MFC+CESSS+AS+NTAC+TfC</t>
  </si>
  <si>
    <t>AS</t>
  </si>
  <si>
    <t>NTAC</t>
  </si>
  <si>
    <t>TfC</t>
  </si>
  <si>
    <t>Summer Avg.</t>
  </si>
  <si>
    <t>Winter Avg.</t>
  </si>
  <si>
    <t>Annual Avg,</t>
  </si>
  <si>
    <t>11/21-11/22</t>
  </si>
  <si>
    <t>NYISO ICAP</t>
  </si>
  <si>
    <t>http://icap.nyiso.com/ucap/public/auc_view_default_reference_price_detail.do</t>
  </si>
  <si>
    <t>10-500kW</t>
  </si>
  <si>
    <t>SC 9 - Rate III - General Large - Voluntary Time-of-Day - Zone J</t>
  </si>
  <si>
    <t>Supply Adders ($/kWh)</t>
  </si>
  <si>
    <t>SC 9 - Rate I - Rider M - General Large - Day-Ahead Hourly Pricing - Zone J</t>
  </si>
  <si>
    <t>NYISO NYC LBMP Avg. Rate ($/kWh)</t>
  </si>
  <si>
    <t>MFC+CESSS+AS+NTAC+TfC</t>
  </si>
  <si>
    <t>Summer Demand Delivery+DLMS+EVMRS+MSCICAP</t>
  </si>
  <si>
    <t>Winter Demand Charges</t>
  </si>
  <si>
    <t>Winter Demand Delivery+DLMS+EVMRS+MSCICAP</t>
  </si>
  <si>
    <t>Secondary</t>
  </si>
  <si>
    <t>https://www.centerpointenergy.com/en-us/Corp/Pages/rates-and-tariffs-electric.aspx</t>
  </si>
  <si>
    <t>Centerpoint Energy Houston Electric</t>
  </si>
  <si>
    <t>PUC of Texas: Provider of Last Resort (POLR)</t>
  </si>
  <si>
    <t>https://www.puc.texas.gov/consumer/electricity/polr.aspx</t>
  </si>
  <si>
    <t xml:space="preserve">POLR Large Non-Residential: Calpine Energy Solutions </t>
  </si>
  <si>
    <t>ERCOT RTSPP</t>
  </si>
  <si>
    <t>http://www.energyonline.com/Data/GenericData.aspx?DataId=4</t>
  </si>
  <si>
    <t>EECRF</t>
  </si>
  <si>
    <t>LSP+TSC(4CP)+DSC+TC(SRC)+NDC+TCRF(4CP)+RCE+ADFIT+DCRF</t>
  </si>
  <si>
    <t>ERCOT LZ_HOUSTON RTP Avg. Rate ($/kWh)</t>
  </si>
  <si>
    <t>RTSPP Floor (in lieu of non-bypassable charges for LSP Rate)</t>
  </si>
  <si>
    <t>&gt;10kVA</t>
  </si>
  <si>
    <t>Centerpoint Energy, LZ_HOUSTON</t>
  </si>
  <si>
    <t>CPS Energy, LZ_CPS</t>
  </si>
  <si>
    <t>Oncor, LZ_NORTH</t>
  </si>
  <si>
    <t>LSP Rate=125%RTSPP</t>
  </si>
  <si>
    <t>ERCOT LZ_NORTH RTP Avg. Rate ($/kWh)</t>
  </si>
  <si>
    <t>POLR Large Non-Residential: TXU Energy Retail Co.</t>
  </si>
  <si>
    <t>&gt;10kW</t>
  </si>
  <si>
    <t>Large Non-Residential, Secondary Service Greater than 10kW</t>
  </si>
  <si>
    <t>LGS - Large General Service, Secondary Service Greater than 10kVA</t>
  </si>
  <si>
    <t>LSP+TSC(4CP)+DSC+NDC+TCRF(4CP)+RCE+RS+CSR+DCRF+TRF</t>
  </si>
  <si>
    <t>https://www.oncor.com/content/oncorwww/us/en/home/about-us/regulatory/tariffs-rate-schedules.html</t>
  </si>
  <si>
    <t>POLR Large Non-Residential: Reliant Energy Retail</t>
  </si>
  <si>
    <t>https://www.cpsenergy.com/en/about-us/who-we-are/rates.html</t>
  </si>
  <si>
    <t>ERCOT LZ_CPS RTP Avg. Rate ($/kWh)</t>
  </si>
  <si>
    <t>LLP - Large Lighting and Power Service Rate</t>
  </si>
  <si>
    <t>100-1000kW</t>
  </si>
  <si>
    <t>LSP+Demand Charge</t>
  </si>
  <si>
    <t>Energy Charge</t>
  </si>
  <si>
    <t>ELP - Extra Large Power Service Rate</t>
  </si>
  <si>
    <t>https://austinenergy.com/ae/rates/approved-rates-schedules/approved-electric-rates</t>
  </si>
  <si>
    <t>&gt;300kW</t>
  </si>
  <si>
    <t>General Service - Secondary Voltage (Demand greater than or equal to 300 kW)</t>
  </si>
  <si>
    <t>Delivery+Demand+Regulatory</t>
  </si>
  <si>
    <t>Inside City Limits</t>
  </si>
  <si>
    <t>Outside City Limits</t>
  </si>
  <si>
    <t>Energy+PSAC+CAC+SAL+EES+RC</t>
  </si>
  <si>
    <t>Demand+Regulatory</t>
  </si>
  <si>
    <t>SoCal</t>
  </si>
  <si>
    <t>Low</t>
  </si>
  <si>
    <t>Ref</t>
  </si>
  <si>
    <t>High</t>
  </si>
  <si>
    <t>CapEx OpEx EA Start=End SplitXp NoXd NoG MaxVehicles</t>
  </si>
  <si>
    <t>CapEx OpEx EA DCM Cycle Start=End SplitXp NoExport MaxVehicles</t>
  </si>
  <si>
    <t>Customers
[M]</t>
  </si>
  <si>
    <t xml:space="preserve">Region
</t>
  </si>
  <si>
    <t>Stations
[S]</t>
  </si>
  <si>
    <t xml:space="preserve">Diesel
</t>
  </si>
  <si>
    <t xml:space="preserve">Sensitivity
</t>
  </si>
  <si>
    <t>EV
Charge</t>
  </si>
  <si>
    <t>EV
V2G</t>
  </si>
  <si>
    <t>Facilities Only</t>
  </si>
  <si>
    <t>Class 8: Diesel $2</t>
  </si>
  <si>
    <t>Class 8: Diesel $3</t>
  </si>
  <si>
    <t>Class 8: Diesel $4</t>
  </si>
  <si>
    <t>Class 8: Diesel $5</t>
  </si>
  <si>
    <t>Class 8: Diesel $6</t>
  </si>
  <si>
    <t>X</t>
  </si>
  <si>
    <t>NorCal</t>
  </si>
  <si>
    <t>EIA Diesel Fuel Prices</t>
  </si>
  <si>
    <t>https://www.eia.gov/outlooks/steo/data/browser/#/?v=0&amp;f=A&amp;s=000000000000000000000000000gg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&amp;start=1997&amp;end=2023&amp;maptype=0&amp;ctype=linechart&amp;linechart=</t>
  </si>
  <si>
    <t>EIA Short-term Energy Outlook</t>
  </si>
  <si>
    <t>https://www.eia.gov/outlooks/steo/</t>
  </si>
  <si>
    <t>$/gallon</t>
  </si>
  <si>
    <t>$/l</t>
  </si>
  <si>
    <t>2usd</t>
  </si>
  <si>
    <t>3usd</t>
  </si>
  <si>
    <t>4usd</t>
  </si>
  <si>
    <t>5usd</t>
  </si>
  <si>
    <t>6usd</t>
  </si>
  <si>
    <t>-</t>
  </si>
  <si>
    <t>Winter Weekday (All/Oct-Feb)</t>
  </si>
  <si>
    <t>Winter Weekday (Mar-May)</t>
  </si>
  <si>
    <t>All/Summer Weekday</t>
  </si>
  <si>
    <t>Base</t>
  </si>
  <si>
    <t>June-Sep. Weekday Rate ($/kWh) + HT Delivery + HT Hourly Adder</t>
  </si>
  <si>
    <t>Oct.-May Weekday Rate ($/kWh) + HT Delivery + HT Hourly Adder</t>
  </si>
  <si>
    <t>EastCoast</t>
  </si>
  <si>
    <t>Austin Energy, LZ_AEN; Outside City Limits</t>
  </si>
  <si>
    <t>Commercial Service - Fleet and Public Electric Vehicle Charging (Pilot)</t>
  </si>
  <si>
    <t>2000 Exchange Pkwy, Waco, TX 76712</t>
  </si>
  <si>
    <t>AUS3 - Waco Amazon FC</t>
  </si>
  <si>
    <t>HOU3 - Brookshire Amazon FC</t>
  </si>
  <si>
    <t>31555 US-90, Brookshire, TX 77423</t>
  </si>
  <si>
    <t>947 W St Marys St, Centerville, TX 75833</t>
  </si>
  <si>
    <t>Centerpoint TX Tesla Supercharger</t>
  </si>
  <si>
    <t>https://stormcenter.oncor.com/</t>
  </si>
  <si>
    <t>EMISSIONS</t>
  </si>
  <si>
    <t>diesel CO2 factors [kg co2/gal]</t>
  </si>
  <si>
    <t>diesel CO2 factors [kg co2/l]</t>
  </si>
  <si>
    <t>https://www.eia.gov/environment/emissions/co2_vol_mass.php</t>
  </si>
  <si>
    <t>https://www.eia.gov/electricity/state/california/</t>
  </si>
  <si>
    <t>California electricity [g CO2/kWh]</t>
  </si>
  <si>
    <t>g CO2/km</t>
  </si>
  <si>
    <t>East Coast (avg. NY,PA) electricity [g CO2/kWh]</t>
  </si>
  <si>
    <t>Texas electricity [g CO2/kWh]</t>
  </si>
  <si>
    <t>https://pubs.acs.org/doi/full/10.1021/acs.est.7b01814</t>
  </si>
  <si>
    <t>https://pubs.acs.org/doi/10.1021/acs.est.0c02931#:~:text=Class%202%20BEV%20PUTs%20and%20vans%20result,BEV%20trucks%20emit%201862%20g%20CO2e%20for</t>
  </si>
  <si>
    <t>China-Shanghai Raw electricity [g CO2/kWh]</t>
  </si>
  <si>
    <t>China-Shanghai netowork electricity [g CO2/kWh]</t>
  </si>
  <si>
    <t>WTW Diesel Class 8 Short Haul [g CO2/km]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</si>
</sst>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5" formatCode="0.0000"/>
    <numFmt numFmtId="166" formatCode="0.000"/>
    <numFmt numFmtId="167" formatCode="&quot;$&quot;#,##0.00"/>
    <numFmt numFmtId="168" formatCode="&quot;$&quot;#,##0.00000"/>
    <numFmt numFmtId="169" formatCode="_(* #,##0_);_(* \(#,##0\);_(* &quot;-&quot;??_);_(@_)"/>
    <numFmt numFmtId="170" formatCode="m/d/yyyy"/>
    <numFmt numFmtId="171" formatCode="&quot;$&quot;#,##0.00000_);[Red]\(&quot;$&quot;#,##0.00000\)"/>
    <numFmt numFmtId="172" formatCode="_(&quot;$&quot;* #,##0.000_);_(&quot;$&quot;* \(#,##0.000\);_(&quot;$&quot;* &quot;-&quot;??_);_(@_)"/>
    <numFmt numFmtId="173" formatCode="_(&quot;$&quot;* #,##0.0000_);_(&quot;$&quot;* \(#,##0.0000\);_(&quot;$&quot;* &quot;-&quot;??_);_(@_)"/>
    <numFmt numFmtId="174" formatCode="_(&quot;$&quot;* #,##0.00000_);_(&quot;$&quot;* \(#,##0.00000\);_(&quot;$&quot;* &quot;-&quot;??_);_(@_)"/>
  </numFmts>
  <fonts count="4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&quot;Times New Roman&quot;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u/>
      <sz val="10"/>
      <color rgb="FF1155CC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0"/>
      <color rgb="FF0563C1"/>
      <name val="Calibri"/>
      <family val="2"/>
      <scheme val="minor"/>
    </font>
    <font>
      <sz val="12"/>
      <color theme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E5CD"/>
        <bgColor rgb="FFFCE5CD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thin">
        <color rgb="FF000000"/>
      </right>
      <top/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18" fillId="0" borderId="0" xfId="42"/>
    <xf numFmtId="8" fontId="0" fillId="0" borderId="0" xfId="0" applyNumberFormat="1"/>
    <xf numFmtId="9" fontId="0" fillId="0" borderId="0" xfId="0" applyNumberFormat="1"/>
    <xf numFmtId="164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14" fontId="20" fillId="0" borderId="0" xfId="0" applyNumberFormat="1" applyFont="1"/>
    <xf numFmtId="0" fontId="18" fillId="0" borderId="0" xfId="42" applyAlignment="1"/>
    <xf numFmtId="0" fontId="16" fillId="0" borderId="0" xfId="0" applyFont="1"/>
    <xf numFmtId="0" fontId="0" fillId="0" borderId="10" xfId="0" applyBorder="1"/>
    <xf numFmtId="0" fontId="19" fillId="0" borderId="10" xfId="0" applyFont="1" applyBorder="1"/>
    <xf numFmtId="0" fontId="20" fillId="0" borderId="10" xfId="0" applyFont="1" applyBorder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67" fontId="0" fillId="0" borderId="0" xfId="44" applyNumberFormat="1" applyFont="1"/>
    <xf numFmtId="0" fontId="23" fillId="0" borderId="0" xfId="0" applyFont="1"/>
    <xf numFmtId="168" fontId="0" fillId="0" borderId="0" xfId="44" applyNumberFormat="1" applyFont="1"/>
    <xf numFmtId="9" fontId="18" fillId="0" borderId="0" xfId="42" applyNumberFormat="1"/>
    <xf numFmtId="167" fontId="0" fillId="0" borderId="0" xfId="0" applyNumberFormat="1"/>
    <xf numFmtId="169" fontId="0" fillId="0" borderId="0" xfId="43" applyNumberFormat="1" applyFont="1"/>
    <xf numFmtId="0" fontId="14" fillId="0" borderId="0" xfId="0" applyFont="1"/>
    <xf numFmtId="0" fontId="24" fillId="0" borderId="0" xfId="0" applyFont="1" applyAlignment="1">
      <alignment horizontal="center"/>
    </xf>
    <xf numFmtId="0" fontId="24" fillId="33" borderId="13" xfId="0" applyFont="1" applyFill="1" applyBorder="1" applyAlignment="1">
      <alignment horizontal="center"/>
    </xf>
    <xf numFmtId="0" fontId="24" fillId="33" borderId="12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170" fontId="25" fillId="0" borderId="0" xfId="0" applyNumberFormat="1" applyFont="1" applyAlignment="1">
      <alignment horizontal="center"/>
    </xf>
    <xf numFmtId="170" fontId="27" fillId="0" borderId="0" xfId="0" applyNumberFormat="1" applyFont="1"/>
    <xf numFmtId="0" fontId="31" fillId="0" borderId="0" xfId="0" applyFont="1" applyAlignment="1">
      <alignment horizontal="right"/>
    </xf>
    <xf numFmtId="0" fontId="22" fillId="0" borderId="0" xfId="0" applyFont="1"/>
    <xf numFmtId="0" fontId="33" fillId="0" borderId="0" xfId="0" applyFont="1"/>
    <xf numFmtId="0" fontId="34" fillId="0" borderId="0" xfId="0" applyFont="1" applyAlignment="1">
      <alignment horizontal="center"/>
    </xf>
    <xf numFmtId="0" fontId="36" fillId="0" borderId="0" xfId="0" applyFont="1"/>
    <xf numFmtId="0" fontId="37" fillId="0" borderId="0" xfId="42" applyFont="1"/>
    <xf numFmtId="0" fontId="33" fillId="0" borderId="10" xfId="0" applyFont="1" applyBorder="1"/>
    <xf numFmtId="0" fontId="38" fillId="0" borderId="10" xfId="0" applyFont="1" applyBorder="1"/>
    <xf numFmtId="0" fontId="36" fillId="0" borderId="10" xfId="0" applyFont="1" applyBorder="1"/>
    <xf numFmtId="0" fontId="37" fillId="0" borderId="0" xfId="42" applyFont="1" applyAlignment="1"/>
    <xf numFmtId="0" fontId="37" fillId="0" borderId="0" xfId="42" applyFont="1" applyBorder="1" applyAlignment="1"/>
    <xf numFmtId="0" fontId="35" fillId="0" borderId="10" xfId="0" applyFont="1" applyBorder="1"/>
    <xf numFmtId="0" fontId="25" fillId="0" borderId="10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18" fillId="0" borderId="0" xfId="42" applyBorder="1"/>
    <xf numFmtId="17" fontId="36" fillId="0" borderId="0" xfId="0" applyNumberFormat="1" applyFont="1"/>
    <xf numFmtId="0" fontId="38" fillId="0" borderId="0" xfId="0" applyFont="1"/>
    <xf numFmtId="14" fontId="36" fillId="0" borderId="0" xfId="0" applyNumberFormat="1" applyFont="1"/>
    <xf numFmtId="0" fontId="40" fillId="0" borderId="0" xfId="0" applyFont="1"/>
    <xf numFmtId="0" fontId="41" fillId="0" borderId="10" xfId="0" applyFont="1" applyBorder="1"/>
    <xf numFmtId="0" fontId="42" fillId="0" borderId="0" xfId="0" applyFont="1"/>
    <xf numFmtId="14" fontId="40" fillId="0" borderId="0" xfId="0" applyNumberFormat="1" applyFont="1"/>
    <xf numFmtId="0" fontId="40" fillId="0" borderId="10" xfId="0" applyFont="1" applyBorder="1"/>
    <xf numFmtId="0" fontId="41" fillId="0" borderId="0" xfId="0" applyFont="1"/>
    <xf numFmtId="0" fontId="37" fillId="0" borderId="0" xfId="42" applyFont="1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171" fontId="0" fillId="0" borderId="0" xfId="0" applyNumberFormat="1"/>
    <xf numFmtId="44" fontId="0" fillId="0" borderId="0" xfId="44" applyFont="1"/>
    <xf numFmtId="172" fontId="0" fillId="0" borderId="0" xfId="44" applyNumberFormat="1" applyFont="1"/>
    <xf numFmtId="174" fontId="0" fillId="0" borderId="0" xfId="44" applyNumberFormat="1" applyFont="1"/>
    <xf numFmtId="0" fontId="0" fillId="0" borderId="0" xfId="0" applyAlignment="1">
      <alignment horizontal="center" vertical="center"/>
    </xf>
    <xf numFmtId="173" fontId="43" fillId="0" borderId="0" xfId="44" applyNumberFormat="1" applyFont="1" applyAlignment="1">
      <alignment horizontal="center" vertical="center"/>
    </xf>
    <xf numFmtId="173" fontId="43" fillId="34" borderId="0" xfId="44" applyNumberFormat="1" applyFont="1" applyFill="1" applyAlignment="1">
      <alignment horizontal="center" vertical="center"/>
    </xf>
    <xf numFmtId="0" fontId="43" fillId="34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0" fillId="0" borderId="0" xfId="0"/>
    <xf numFmtId="0" fontId="32" fillId="0" borderId="18" xfId="0" applyFont="1" applyBorder="1" applyAlignment="1">
      <alignment horizontal="center"/>
    </xf>
    <xf numFmtId="0" fontId="18" fillId="0" borderId="0" xfId="42" applyAlignment="1">
      <alignment horizontal="center"/>
    </xf>
    <xf numFmtId="0" fontId="26" fillId="0" borderId="0" xfId="0" applyFont="1" applyAlignment="1">
      <alignment horizontal="center"/>
    </xf>
    <xf numFmtId="0" fontId="32" fillId="0" borderId="11" xfId="0" applyFont="1" applyBorder="1" applyAlignment="1">
      <alignment horizontal="center"/>
    </xf>
    <xf numFmtId="0" fontId="28" fillId="0" borderId="11" xfId="0" applyFont="1" applyBorder="1"/>
    <xf numFmtId="0" fontId="25" fillId="0" borderId="19" xfId="0" applyFont="1" applyBorder="1" applyAlignment="1">
      <alignment horizontal="center"/>
    </xf>
    <xf numFmtId="0" fontId="28" fillId="0" borderId="15" xfId="0" applyFont="1" applyBorder="1"/>
    <xf numFmtId="0" fontId="24" fillId="33" borderId="11" xfId="0" applyFont="1" applyFill="1" applyBorder="1" applyAlignment="1">
      <alignment horizontal="center"/>
    </xf>
    <xf numFmtId="0" fontId="28" fillId="0" borderId="13" xfId="0" applyFont="1" applyBorder="1"/>
    <xf numFmtId="0" fontId="32" fillId="0" borderId="17" xfId="0" applyFont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795868</xdr:colOff>
      <xdr:row>0</xdr:row>
      <xdr:rowOff>0</xdr:rowOff>
    </xdr:from>
    <xdr:to>
      <xdr:col>14</xdr:col>
      <xdr:colOff>33867</xdr:colOff>
      <xdr:row>7</xdr:row>
      <xdr:rowOff>67187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F6280D-151A-DE4E-B26B-136F30281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1" y="0"/>
          <a:ext cx="5046133" cy="1331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101</xdr:col>
      <xdr:colOff>101600</xdr:colOff>
      <xdr:row>0</xdr:row>
      <xdr:rowOff>0</xdr:rowOff>
    </xdr:from>
    <xdr:to>
      <xdr:col>104</xdr:col>
      <xdr:colOff>222285</xdr:colOff>
      <xdr:row>7</xdr:row>
      <xdr:rowOff>168584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A26BD5-E420-7241-8A45-C82C3C499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66290" y="0"/>
          <a:ext cx="2582013" cy="1427345"/>
        </a:xfrm>
        <a:prstGeom prst="rect">
          <a:avLst/>
        </a:prstGeom>
      </xdr:spPr>
    </xdr:pic>
    <xdr:clientData/>
  </xdr:twoCellAnchor>
  <xdr:twoCellAnchor editAs="oneCell">
    <xdr:from>
      <xdr:col>106</xdr:col>
      <xdr:colOff>0</xdr:colOff>
      <xdr:row>0</xdr:row>
      <xdr:rowOff>0</xdr:rowOff>
    </xdr:from>
    <xdr:to>
      <xdr:col>108</xdr:col>
      <xdr:colOff>483274</xdr:colOff>
      <xdr:row>7</xdr:row>
      <xdr:rowOff>177614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B7CAFC-51A0-7738-CB8F-1E5590C29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66903" y="0"/>
          <a:ext cx="2124159" cy="1436375"/>
        </a:xfrm>
        <a:prstGeom prst="rect">
          <a:avLst/>
        </a:prstGeom>
      </xdr:spPr>
    </xdr:pic>
    <xdr:clientData/>
  </xdr:twoCellAnchor>
  <xdr:twoCellAnchor editAs="oneCell">
    <xdr:from>
      <xdr:col>110</xdr:col>
      <xdr:colOff>0</xdr:colOff>
      <xdr:row>0</xdr:row>
      <xdr:rowOff>0</xdr:rowOff>
    </xdr:from>
    <xdr:to>
      <xdr:col>112</xdr:col>
      <xdr:colOff>528230</xdr:colOff>
      <xdr:row>8</xdr:row>
      <xdr:rowOff>28191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223A4F-A8C8-AC4B-986D-9721155F0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48673" y="0"/>
          <a:ext cx="2169115" cy="1466775"/>
        </a:xfrm>
        <a:prstGeom prst="rect">
          <a:avLst/>
        </a:prstGeom>
      </xdr:spPr>
    </xdr:pic>
    <xdr:clientData/>
  </xdr:twoCellAnchor>
  <xdr:twoCellAnchor editAs="oneCell">
    <xdr:from>
      <xdr:col>115</xdr:col>
      <xdr:colOff>1</xdr:colOff>
      <xdr:row>0</xdr:row>
      <xdr:rowOff>1</xdr:rowOff>
    </xdr:from>
    <xdr:to>
      <xdr:col>117</xdr:col>
      <xdr:colOff>348407</xdr:colOff>
      <xdr:row>8</xdr:row>
      <xdr:rowOff>2868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7E3841-6D99-73DF-2D85-13C149104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350886" y="1"/>
          <a:ext cx="1989291" cy="1441451"/>
        </a:xfrm>
        <a:prstGeom prst="rect">
          <a:avLst/>
        </a:prstGeom>
      </xdr:spPr>
    </xdr:pic>
    <xdr:clientData/>
  </xdr:twoCellAnchor>
  <xdr:twoCellAnchor editAs="oneCell">
    <xdr:from>
      <xdr:col>119</xdr:col>
      <xdr:colOff>0</xdr:colOff>
      <xdr:row>0</xdr:row>
      <xdr:rowOff>1</xdr:rowOff>
    </xdr:from>
    <xdr:to>
      <xdr:col>121</xdr:col>
      <xdr:colOff>157345</xdr:colOff>
      <xdr:row>7</xdr:row>
      <xdr:rowOff>176074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FD7ACF7-D390-59C3-FFDA-0442BC048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632655" y="1"/>
          <a:ext cx="1798230" cy="1434834"/>
        </a:xfrm>
        <a:prstGeom prst="rect">
          <a:avLst/>
        </a:prstGeom>
      </xdr:spPr>
    </xdr:pic>
    <xdr:clientData/>
  </xdr:twoCellAnchor>
  <xdr:twoCellAnchor editAs="oneCell">
    <xdr:from>
      <xdr:col>124</xdr:col>
      <xdr:colOff>0</xdr:colOff>
      <xdr:row>0</xdr:row>
      <xdr:rowOff>0</xdr:rowOff>
    </xdr:from>
    <xdr:to>
      <xdr:col>127</xdr:col>
      <xdr:colOff>0</xdr:colOff>
      <xdr:row>8</xdr:row>
      <xdr:rowOff>401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3E1FA0A-9687-79CA-81AE-1C3F71F6A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734867" y="0"/>
          <a:ext cx="2461328" cy="1438985"/>
        </a:xfrm>
        <a:prstGeom prst="rect">
          <a:avLst/>
        </a:prstGeom>
      </xdr:spPr>
    </xdr:pic>
    <xdr:clientData/>
  </xdr:twoCellAnchor>
  <xdr:oneCellAnchor>
    <xdr:from>
      <xdr:col>129</xdr:col>
      <xdr:colOff>0</xdr:colOff>
      <xdr:row>0</xdr:row>
      <xdr:rowOff>0</xdr:rowOff>
    </xdr:from>
    <xdr:ext cx="2450088" cy="1423617"/>
    <xdr:pic>
      <xdr:nvPicPr>
        <xdr:cNvPr id="11" name="Picture 10">
          <a:extLst>
            <a:ext uri="{FF2B5EF4-FFF2-40B4-BE49-F238E27FC236}">
              <a16:creationId xmlns:a16="http://schemas.microsoft.com/office/drawing/2014/main" id="{A1E2D054-9A70-6548-9E8C-82D275DDA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837080" y="0"/>
          <a:ext cx="2450088" cy="1423617"/>
        </a:xfrm>
        <a:prstGeom prst="rect">
          <a:avLst/>
        </a:prstGeom>
      </xdr:spPr>
    </xdr:pic>
    <xdr:clientData/>
  </xdr:oneCellAnchor>
  <xdr:oneCellAnchor>
    <xdr:from>
      <xdr:col>139</xdr:col>
      <xdr:colOff>0</xdr:colOff>
      <xdr:row>0</xdr:row>
      <xdr:rowOff>1</xdr:rowOff>
    </xdr:from>
    <xdr:ext cx="2337700" cy="1358314"/>
    <xdr:pic>
      <xdr:nvPicPr>
        <xdr:cNvPr id="12" name="Picture 11">
          <a:extLst>
            <a:ext uri="{FF2B5EF4-FFF2-40B4-BE49-F238E27FC236}">
              <a16:creationId xmlns:a16="http://schemas.microsoft.com/office/drawing/2014/main" id="{07DBB341-641C-D041-BF46-9668A7FCB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041504" y="1"/>
          <a:ext cx="2337700" cy="1358314"/>
        </a:xfrm>
        <a:prstGeom prst="rect">
          <a:avLst/>
        </a:prstGeom>
      </xdr:spPr>
    </xdr:pic>
    <xdr:clientData/>
  </xdr:oneCellAnchor>
  <xdr:oneCellAnchor>
    <xdr:from>
      <xdr:col>134</xdr:col>
      <xdr:colOff>0</xdr:colOff>
      <xdr:row>0</xdr:row>
      <xdr:rowOff>0</xdr:rowOff>
    </xdr:from>
    <xdr:ext cx="2461327" cy="1430147"/>
    <xdr:pic>
      <xdr:nvPicPr>
        <xdr:cNvPr id="13" name="Picture 12">
          <a:extLst>
            <a:ext uri="{FF2B5EF4-FFF2-40B4-BE49-F238E27FC236}">
              <a16:creationId xmlns:a16="http://schemas.microsoft.com/office/drawing/2014/main" id="{B1ABE976-6344-1D4A-93BF-BD0EFED6B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939292" y="0"/>
          <a:ext cx="2461327" cy="1430147"/>
        </a:xfrm>
        <a:prstGeom prst="rect">
          <a:avLst/>
        </a:prstGeom>
      </xdr:spPr>
    </xdr:pic>
    <xdr:clientData/>
  </xdr:oneCellAnchor>
  <xdr:twoCellAnchor editAs="oneCell">
    <xdr:from>
      <xdr:col>147</xdr:col>
      <xdr:colOff>0</xdr:colOff>
      <xdr:row>0</xdr:row>
      <xdr:rowOff>1</xdr:rowOff>
    </xdr:from>
    <xdr:to>
      <xdr:col>150</xdr:col>
      <xdr:colOff>668867</xdr:colOff>
      <xdr:row>9</xdr:row>
      <xdr:rowOff>11275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4630CBE-D851-C270-E96B-D85CDE474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348500" y="1"/>
          <a:ext cx="3145367" cy="1636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812800</xdr:colOff>
      <xdr:row>0</xdr:row>
      <xdr:rowOff>0</xdr:rowOff>
    </xdr:from>
    <xdr:to>
      <xdr:col>10</xdr:col>
      <xdr:colOff>50800</xdr:colOff>
      <xdr:row>6</xdr:row>
      <xdr:rowOff>112143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2CF86-A651-D743-9490-2EB2F7905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9300" y="0"/>
          <a:ext cx="5016500" cy="1331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0</xdr:row>
      <xdr:rowOff>0</xdr:rowOff>
    </xdr:from>
    <xdr:to>
      <xdr:col>36</xdr:col>
      <xdr:colOff>495300</xdr:colOff>
      <xdr:row>8</xdr:row>
      <xdr:rowOff>16027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5CDA7D-4BA6-8540-B645-AEB0B1F29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0" y="0"/>
          <a:ext cx="2971800" cy="164162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50</xdr:col>
      <xdr:colOff>604695</xdr:colOff>
      <xdr:row>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33A4F9-6036-4443-B559-6293BB42A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71000" y="0"/>
          <a:ext cx="7208695" cy="16256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mi Ariss" id="{89D706B1-2E1C-EE48-B6F0-7D568FB8E246}" userId="c0e7d0dd56376d3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2-10-10T23:21:21.97" personId="{89D706B1-2E1C-EE48-B6F0-7D568FB8E246}" id="{4E22C16E-EFC9-704C-B70A-836D48A98DD8}">
    <text>l/km diesel</text>
  </threadedComment>
  <threadedComment ref="M2" dT="2022-10-10T23:21:21.97" personId="{89D706B1-2E1C-EE48-B6F0-7D568FB8E246}" id="{1CCD8B11-5F3D-3846-94A6-D382D0889867}">
    <text>l/km diesel</text>
  </threadedComment>
  <threadedComment ref="P2" dT="2022-10-10T23:21:21.97" personId="{89D706B1-2E1C-EE48-B6F0-7D568FB8E246}" id="{E01B6E17-E292-4C44-85C3-3851D92B4F5F}">
    <text>l/km diesel</text>
  </threadedComment>
  <threadedComment ref="E6" dT="2022-10-11T17:35:26.34" personId="{89D706B1-2E1C-EE48-B6F0-7D568FB8E246}" id="{03BFBE06-21D5-2C4D-99D9-4C8C45137ED7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  <threadedComment ref="G6" dT="2022-10-11T17:35:26.34" personId="{89D706B1-2E1C-EE48-B6F0-7D568FB8E246}" id="{D8285F8F-1C22-D046-A6C6-633731A14F53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  <threadedComment ref="I6" dT="2022-10-11T17:35:26.34" personId="{89D706B1-2E1C-EE48-B6F0-7D568FB8E246}" id="{9353AD07-469D-0341-B7C1-2D4FFD30EE4C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  <threadedComment ref="K6" dT="2022-10-11T17:35:26.34" personId="{89D706B1-2E1C-EE48-B6F0-7D568FB8E246}" id="{23F4B564-12A4-E44D-BF14-10406283DC88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  <threadedComment ref="N6" dT="2022-10-11T22:37:03.23" personId="{89D706B1-2E1C-EE48-B6F0-7D568FB8E246}" id="{7A16BA51-A494-D449-A257-68FE718473FB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  <threadedComment ref="R6" dT="2022-10-11T22:37:03.23" personId="{89D706B1-2E1C-EE48-B6F0-7D568FB8E246}" id="{6CDD2FA0-95D9-AA4A-AB00-B2BD03E8CC3E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  <threadedComment ref="D9" dT="2022-10-11T18:31:56.44" personId="{89D706B1-2E1C-EE48-B6F0-7D568FB8E246}" id="{D8D682BE-73C9-9D43-AF05-073BBC89BC55}">
    <text>liters</text>
  </threadedComment>
  <threadedComment ref="M9" dT="2022-10-11T18:31:56.44" personId="{89D706B1-2E1C-EE48-B6F0-7D568FB8E246}" id="{705653D8-CD09-2E45-885E-671E64ED0570}">
    <text>liters</text>
  </threadedComment>
  <threadedComment ref="P9" dT="2022-10-11T18:31:56.44" personId="{89D706B1-2E1C-EE48-B6F0-7D568FB8E246}" id="{234C0340-6E9C-0042-A0AA-37A58D166EE8}">
    <text>liters</text>
  </threadedComment>
  <threadedComment ref="D11" dT="2022-10-11T18:32:24.07" personId="{89D706B1-2E1C-EE48-B6F0-7D568FB8E246}" id="{D6B21071-F777-0F47-8934-9DF91760E3BF}">
    <text>No refuel time cost for diesel trucks</text>
  </threadedComment>
  <threadedComment ref="M11" dT="2022-10-11T18:32:24.07" personId="{89D706B1-2E1C-EE48-B6F0-7D568FB8E246}" id="{16945A97-81D2-9C48-9C60-D71204EE71A5}">
    <text>No refuel time cost for diesel trucks</text>
  </threadedComment>
  <threadedComment ref="P11" dT="2022-10-11T18:32:24.07" personId="{89D706B1-2E1C-EE48-B6F0-7D568FB8E246}" id="{9EBE2FC1-A631-A74F-9539-79BC1601704C}">
    <text>No refuel time cost for diesel trucks</text>
  </threadedComment>
  <threadedComment ref="B12" dT="2022-10-10T22:05:15.11" personId="{89D706B1-2E1C-EE48-B6F0-7D568FB8E246}" id="{21C3E175-05F8-BC4B-9BB7-C43A148A63DF}">
    <text>battery-to-wheels efficiency</text>
  </threadedComment>
  <threadedComment ref="E14" dT="2022-10-11T17:35:26.34" personId="{89D706B1-2E1C-EE48-B6F0-7D568FB8E246}" id="{B694072B-4BAA-F14F-96F8-FCA78577E33D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</ThreadedComment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lectrek.co/2020/06/06/tesla-battery-degradation-replacement/" TargetMode="External"/><Relationship Id="rId18" Type="http://schemas.openxmlformats.org/officeDocument/2006/relationships/hyperlink" Target="https://www.tesla.com/semi" TargetMode="External"/><Relationship Id="rId26" Type="http://schemas.openxmlformats.org/officeDocument/2006/relationships/hyperlink" Target="https://www.bts.gov/browse-statistical-products-and-data/freight-facts-and-figures/average-truck-speeds-select" TargetMode="External"/><Relationship Id="rId39" Type="http://schemas.openxmlformats.org/officeDocument/2006/relationships/hyperlink" Target="https://www.pensketruckleasing.com/pdfs/Freightliner_Cascadia-113.pdf" TargetMode="External"/><Relationship Id="rId21" Type="http://schemas.openxmlformats.org/officeDocument/2006/relationships/hyperlink" Target="https://pubs.acs.org/doi/full/10.1021/acsenergylett.7b00432" TargetMode="External"/><Relationship Id="rId34" Type="http://schemas.openxmlformats.org/officeDocument/2006/relationships/hyperlink" Target="https://www.barrons.com/articles/tesla-stock-ev-batteries-commodities-51654536274" TargetMode="External"/><Relationship Id="rId42" Type="http://schemas.openxmlformats.org/officeDocument/2006/relationships/hyperlink" Target="https://www.nrel.gov/docs/fy22osti/82081.pdf" TargetMode="External"/><Relationship Id="rId47" Type="http://schemas.openxmlformats.org/officeDocument/2006/relationships/hyperlink" Target="https://californiahvip.org/vehicles/byd-8tt-tandem-axle-tractor/" TargetMode="External"/><Relationship Id="rId50" Type="http://schemas.openxmlformats.org/officeDocument/2006/relationships/hyperlink" Target="https://blogs.edf.org/climate411/files/2022/02/EDF-MDHD-Electrification-v1.6_20220209.pdf" TargetMode="External"/><Relationship Id="rId55" Type="http://schemas.openxmlformats.org/officeDocument/2006/relationships/hyperlink" Target="https://www.eia.gov/electricity/state/california/" TargetMode="External"/><Relationship Id="rId7" Type="http://schemas.openxmlformats.org/officeDocument/2006/relationships/hyperlink" Target="https://electrek.co/2020/06/06/tesla-battery-degradation-replacement/" TargetMode="External"/><Relationship Id="rId2" Type="http://schemas.openxmlformats.org/officeDocument/2006/relationships/hyperlink" Target="https://www.tesla.com/semi" TargetMode="External"/><Relationship Id="rId16" Type="http://schemas.openxmlformats.org/officeDocument/2006/relationships/hyperlink" Target="https://pubs.acs.org/doi/full/10.1021/acsenergylett.7b00432" TargetMode="External"/><Relationship Id="rId29" Type="http://schemas.openxmlformats.org/officeDocument/2006/relationships/hyperlink" Target="https://www.bts.gov/browse-statistical-products-and-data/freight-facts-and-figures/average-hourly-wages-select-freight" TargetMode="External"/><Relationship Id="rId11" Type="http://schemas.openxmlformats.org/officeDocument/2006/relationships/hyperlink" Target="https://www.trucks.com/2019/09/05/everything-we-know-about-the-tesla-semi-truck/" TargetMode="External"/><Relationship Id="rId24" Type="http://schemas.openxmlformats.org/officeDocument/2006/relationships/hyperlink" Target="https://www.tesla.com/semi" TargetMode="External"/><Relationship Id="rId32" Type="http://schemas.openxmlformats.org/officeDocument/2006/relationships/hyperlink" Target="https://www.nrel.gov/docs/fy22osti/82081.pdf" TargetMode="External"/><Relationship Id="rId37" Type="http://schemas.openxmlformats.org/officeDocument/2006/relationships/hyperlink" Target="https://www.tesla.com/support/vehicle-warranty" TargetMode="External"/><Relationship Id="rId40" Type="http://schemas.openxmlformats.org/officeDocument/2006/relationships/hyperlink" Target="https://www.sciencedirect.com/topics/engineering/diesel-fuel" TargetMode="External"/><Relationship Id="rId45" Type="http://schemas.openxmlformats.org/officeDocument/2006/relationships/hyperlink" Target="https://pubs.acs.org/doi/full/10.1021/acsenergylett.7b00432" TargetMode="External"/><Relationship Id="rId53" Type="http://schemas.openxmlformats.org/officeDocument/2006/relationships/hyperlink" Target="https://www.eia.gov/outlooks/steo/" TargetMode="External"/><Relationship Id="rId58" Type="http://schemas.openxmlformats.org/officeDocument/2006/relationships/hyperlink" Target="https://pubs.acs.org/doi/10.1021/acs.est.0c02931" TargetMode="External"/><Relationship Id="rId5" Type="http://schemas.openxmlformats.org/officeDocument/2006/relationships/hyperlink" Target="https://seekingalpha.com/instablog/227454-john-petersen/2323012-data-on-class-8-tractor-trailer-combination-weights" TargetMode="External"/><Relationship Id="rId61" Type="http://schemas.microsoft.com/office/2017/10/relationships/threadedComment" Target="../threadedComments/threadedComment1.xml"/><Relationship Id="rId19" Type="http://schemas.openxmlformats.org/officeDocument/2006/relationships/hyperlink" Target="https://pubs.acs.org/doi/full/10.1021/acsenergylett.7b00432" TargetMode="External"/><Relationship Id="rId14" Type="http://schemas.openxmlformats.org/officeDocument/2006/relationships/hyperlink" Target="https://pubs.acs.org/doi/full/10.1021/acsenergylett.7b00432" TargetMode="External"/><Relationship Id="rId22" Type="http://schemas.openxmlformats.org/officeDocument/2006/relationships/hyperlink" Target="https://pubs.acs.org/doi/full/10.1021/acsenergylett.7b00432" TargetMode="External"/><Relationship Id="rId27" Type="http://schemas.openxmlformats.org/officeDocument/2006/relationships/hyperlink" Target="https://www.bts.gov/browse-statistical-products-and-data/freight-facts-and-figures/combination-truck-fuel-consumption" TargetMode="External"/><Relationship Id="rId30" Type="http://schemas.openxmlformats.org/officeDocument/2006/relationships/hyperlink" Target="https://www.paragonrouting.com/en-us/blog/post/want-optimize-your-fleet-know-your-average-trucking-cost-mile/" TargetMode="External"/><Relationship Id="rId35" Type="http://schemas.openxmlformats.org/officeDocument/2006/relationships/hyperlink" Target="https://www.barrons.com/articles/tesla-stock-ev-batteries-commodities-51654536274" TargetMode="External"/><Relationship Id="rId43" Type="http://schemas.openxmlformats.org/officeDocument/2006/relationships/hyperlink" Target="https://www.tesla.com/semi" TargetMode="External"/><Relationship Id="rId48" Type="http://schemas.openxmlformats.org/officeDocument/2006/relationships/hyperlink" Target="https://en.byd.com/news/press-release-buses-delivery-vans-and-garbage-trucks-are-the-electric-vehicles-next-door/" TargetMode="External"/><Relationship Id="rId56" Type="http://schemas.openxmlformats.org/officeDocument/2006/relationships/hyperlink" Target="https://www.eia.gov/electricity/state/california/" TargetMode="External"/><Relationship Id="rId8" Type="http://schemas.openxmlformats.org/officeDocument/2006/relationships/hyperlink" Target="https://www.tesla.com/semi" TargetMode="External"/><Relationship Id="rId51" Type="http://schemas.openxmlformats.org/officeDocument/2006/relationships/hyperlink" Target="https://gasprices.aaa.com/state-gas-price-averages/" TargetMode="External"/><Relationship Id="rId3" Type="http://schemas.openxmlformats.org/officeDocument/2006/relationships/hyperlink" Target="https://www.tesla.com/semi" TargetMode="External"/><Relationship Id="rId12" Type="http://schemas.openxmlformats.org/officeDocument/2006/relationships/hyperlink" Target="https://seekingalpha.com/instablog/227454-john-petersen/2323012-data-on-class-8-tractor-trailer-combination-weights" TargetMode="External"/><Relationship Id="rId17" Type="http://schemas.openxmlformats.org/officeDocument/2006/relationships/hyperlink" Target="https://www.tesla.com/semi" TargetMode="External"/><Relationship Id="rId25" Type="http://schemas.openxmlformats.org/officeDocument/2006/relationships/hyperlink" Target="https://www.energy.gov/eere/vehicles/fact-671-april-18-2011-average-truck-speeds" TargetMode="External"/><Relationship Id="rId33" Type="http://schemas.openxmlformats.org/officeDocument/2006/relationships/hyperlink" Target="https://www.nrel.gov/docs/fy22osti/82081.pdf" TargetMode="External"/><Relationship Id="rId38" Type="http://schemas.openxmlformats.org/officeDocument/2006/relationships/hyperlink" Target="https://www.nrel.gov/docs/fy22osti/82081.pdf" TargetMode="External"/><Relationship Id="rId46" Type="http://schemas.openxmlformats.org/officeDocument/2006/relationships/hyperlink" Target="https://electrek.co/2020/06/06/tesla-battery-degradation-replacement/" TargetMode="External"/><Relationship Id="rId59" Type="http://schemas.openxmlformats.org/officeDocument/2006/relationships/vmlDrawing" Target="../drawings/vmlDrawing1.vml"/><Relationship Id="rId20" Type="http://schemas.openxmlformats.org/officeDocument/2006/relationships/hyperlink" Target="https://pubs.acs.org/doi/full/10.1021/acsenergylett.7b00432" TargetMode="External"/><Relationship Id="rId41" Type="http://schemas.openxmlformats.org/officeDocument/2006/relationships/hyperlink" Target="https://www.bts.gov/browse-statistical-products-and-data/freight-facts-and-figures/average-hourly-wages-select-freight" TargetMode="External"/><Relationship Id="rId54" Type="http://schemas.openxmlformats.org/officeDocument/2006/relationships/hyperlink" Target="https://www.eia.gov/environment/emissions/co2_vol_mass.php" TargetMode="External"/><Relationship Id="rId1" Type="http://schemas.openxmlformats.org/officeDocument/2006/relationships/hyperlink" Target="https://www.tesla.com/semi" TargetMode="External"/><Relationship Id="rId6" Type="http://schemas.openxmlformats.org/officeDocument/2006/relationships/hyperlink" Target="https://www.bts.gov/browse-statistical-products-and-data/freight-facts-and-figures/average-hourly-wages-select-freight" TargetMode="External"/><Relationship Id="rId15" Type="http://schemas.openxmlformats.org/officeDocument/2006/relationships/hyperlink" Target="https://pubs.acs.org/doi/full/10.1021/acsenergylett.7b00432" TargetMode="External"/><Relationship Id="rId23" Type="http://schemas.openxmlformats.org/officeDocument/2006/relationships/hyperlink" Target="https://www.tesla.com/semi" TargetMode="External"/><Relationship Id="rId28" Type="http://schemas.openxmlformats.org/officeDocument/2006/relationships/hyperlink" Target="https://www.bts.gov/browse-statistical-products-and-data/freight-facts-and-figures/average-hourly-wages-select-freight" TargetMode="External"/><Relationship Id="rId36" Type="http://schemas.openxmlformats.org/officeDocument/2006/relationships/hyperlink" Target="https://www.barrons.com/articles/tesla-stock-ev-batteries-commodities-51654536274" TargetMode="External"/><Relationship Id="rId49" Type="http://schemas.openxmlformats.org/officeDocument/2006/relationships/hyperlink" Target="https://www.tesla.com/semi" TargetMode="External"/><Relationship Id="rId57" Type="http://schemas.openxmlformats.org/officeDocument/2006/relationships/hyperlink" Target="https://www.eia.gov/electricity/state/california/" TargetMode="External"/><Relationship Id="rId10" Type="http://schemas.openxmlformats.org/officeDocument/2006/relationships/hyperlink" Target="https://www.tesla.com/semi" TargetMode="External"/><Relationship Id="rId31" Type="http://schemas.openxmlformats.org/officeDocument/2006/relationships/hyperlink" Target="https://www.nrel.gov/docs/fy22osti/82081.pdf" TargetMode="External"/><Relationship Id="rId44" Type="http://schemas.openxmlformats.org/officeDocument/2006/relationships/hyperlink" Target="https://pubs.acs.org/doi/full/10.1021/acsenergylett.7b00432" TargetMode="External"/><Relationship Id="rId52" Type="http://schemas.openxmlformats.org/officeDocument/2006/relationships/hyperlink" Target="https://www.eia.gov/outlooks/steo/data/browser/" TargetMode="External"/><Relationship Id="rId60" Type="http://schemas.openxmlformats.org/officeDocument/2006/relationships/comments" Target="../comments1.xml"/><Relationship Id="rId4" Type="http://schemas.openxmlformats.org/officeDocument/2006/relationships/hyperlink" Target="https://www.trucks.com/2019/09/05/everything-we-know-about-the-tesla-semi-truck/" TargetMode="External"/><Relationship Id="rId9" Type="http://schemas.openxmlformats.org/officeDocument/2006/relationships/hyperlink" Target="https://www.tesla.com/semi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st.github.com/lifewinning/9e889d3e5b556ceff5f3" TargetMode="External"/><Relationship Id="rId13" Type="http://schemas.openxmlformats.org/officeDocument/2006/relationships/hyperlink" Target="https://www.sacbee.com/news/business/article234617597.html" TargetMode="External"/><Relationship Id="rId18" Type="http://schemas.openxmlformats.org/officeDocument/2006/relationships/hyperlink" Target="https://www.oncor.com/content/oncorwww/us/en/home/smart-energy/electric-vehicles/commercial.html" TargetMode="External"/><Relationship Id="rId26" Type="http://schemas.openxmlformats.org/officeDocument/2006/relationships/hyperlink" Target="https://www.centerpointenergy.com/en-us/Corp/Pages/rates-and-tariffs-electric.aspx" TargetMode="External"/><Relationship Id="rId3" Type="http://schemas.openxmlformats.org/officeDocument/2006/relationships/hyperlink" Target="https://www.pressenterprise.com/2018/01/12/city-of-riverside-is-getting-its-first-1-million-square-foot-amazon-fulfillment-center/" TargetMode="External"/><Relationship Id="rId21" Type="http://schemas.openxmlformats.org/officeDocument/2006/relationships/hyperlink" Target="https://gist.github.com/lifewinning/9e889d3e5b556ceff5f3" TargetMode="External"/><Relationship Id="rId7" Type="http://schemas.openxmlformats.org/officeDocument/2006/relationships/hyperlink" Target="https://www.sunshipecommerce.com/amazon-jfk8-fulfillment-center-unites-man-machine/" TargetMode="External"/><Relationship Id="rId12" Type="http://schemas.openxmlformats.org/officeDocument/2006/relationships/hyperlink" Target="https://www.cnbc.com/2022/09/01/amazon-took-solar-rooftops-offline-last-year-after-fires-explosions.html" TargetMode="External"/><Relationship Id="rId17" Type="http://schemas.openxmlformats.org/officeDocument/2006/relationships/hyperlink" Target="https://austinenergy.com/ae/about/company-profile/electric-system" TargetMode="External"/><Relationship Id="rId25" Type="http://schemas.openxmlformats.org/officeDocument/2006/relationships/hyperlink" Target="https://www.sf-express.com/cn/sc/download/Special_Warehouse_Service_CN_EN.pdf" TargetMode="External"/><Relationship Id="rId2" Type="http://schemas.openxmlformats.org/officeDocument/2006/relationships/hyperlink" Target="https://en.wikipedia.org/wiki/List_of_Amazon_locations" TargetMode="External"/><Relationship Id="rId16" Type="http://schemas.openxmlformats.org/officeDocument/2006/relationships/hyperlink" Target="https://www.kxan.com/news/business/pflugerville-amazon-announce-820k-square-foot-fulfillment-center-to-open-in-2021/" TargetMode="External"/><Relationship Id="rId20" Type="http://schemas.openxmlformats.org/officeDocument/2006/relationships/hyperlink" Target="https://www.cpsenergy.com/" TargetMode="External"/><Relationship Id="rId29" Type="http://schemas.openxmlformats.org/officeDocument/2006/relationships/hyperlink" Target="https://www.oncor.com/content/oncorwww/us/en/home/smart-energy/electric-vehicles/commercial.html" TargetMode="External"/><Relationship Id="rId1" Type="http://schemas.openxmlformats.org/officeDocument/2006/relationships/hyperlink" Target="https://timesofsandiego.com/business/2021/09/21/amazon-shows-off-new-3-million-foot-robot-filled-san3-center-in-otay-mesa/" TargetMode="External"/><Relationship Id="rId6" Type="http://schemas.openxmlformats.org/officeDocument/2006/relationships/hyperlink" Target="https://www.cnet.com/tech/services-and-software/why-amazon-built-a-warehouse-inside-a-midtown-manhattan-office-tower/" TargetMode="External"/><Relationship Id="rId11" Type="http://schemas.openxmlformats.org/officeDocument/2006/relationships/hyperlink" Target="https://www.peco.com/MyAccount/MyService/Pages/ElectricPricetoCompare.aspx" TargetMode="External"/><Relationship Id="rId24" Type="http://schemas.openxmlformats.org/officeDocument/2006/relationships/hyperlink" Target="https://www.sf-express.com/cn/sc/download/Special_Warehouse_Service_CN_EN.pdf" TargetMode="External"/><Relationship Id="rId5" Type="http://schemas.openxmlformats.org/officeDocument/2006/relationships/hyperlink" Target="https://www.graycor.com/projects/bfl1" TargetMode="External"/><Relationship Id="rId15" Type="http://schemas.openxmlformats.org/officeDocument/2006/relationships/hyperlink" Target="https://www.bizjournals.com/houston/news/2018/09/07/photos-tour-amazon-fulfillment-center-in-north.html" TargetMode="External"/><Relationship Id="rId23" Type="http://schemas.openxmlformats.org/officeDocument/2006/relationships/hyperlink" Target="https://gist.github.com/lifewinning/9e889d3e5b556ceff5f3" TargetMode="External"/><Relationship Id="rId28" Type="http://schemas.openxmlformats.org/officeDocument/2006/relationships/hyperlink" Target="https://www.centerpointenergy.com/en-us/Corp/Pages/rates-and-tariffs-electric.aspx" TargetMode="External"/><Relationship Id="rId10" Type="http://schemas.openxmlformats.org/officeDocument/2006/relationships/hyperlink" Target="https://gist.github.com/lifewinning/9e889d3e5b556ceff5f3" TargetMode="External"/><Relationship Id="rId19" Type="http://schemas.openxmlformats.org/officeDocument/2006/relationships/hyperlink" Target="https://www.oncor.com/content/oncorwww/us/en/home/smart-energy/electric-vehicles/commercial.html" TargetMode="External"/><Relationship Id="rId31" Type="http://schemas.openxmlformats.org/officeDocument/2006/relationships/hyperlink" Target="https://stormcenter.oncor.com/" TargetMode="External"/><Relationship Id="rId4" Type="http://schemas.openxmlformats.org/officeDocument/2006/relationships/hyperlink" Target="https://www.pacbiztimes.com/2022/04/14/amazon-ramps-up-giant-new-facility-in-oxnard/" TargetMode="External"/><Relationship Id="rId9" Type="http://schemas.openxmlformats.org/officeDocument/2006/relationships/hyperlink" Target="https://gist.github.com/lifewinning/9e889d3e5b556ceff5f3" TargetMode="External"/><Relationship Id="rId14" Type="http://schemas.openxmlformats.org/officeDocument/2006/relationships/hyperlink" Target="https://www.recordnet.com/story/news/local/2020/09/05/amazon-opened-new-stockton-based-sorting-facility-this-week/5730634002/" TargetMode="External"/><Relationship Id="rId22" Type="http://schemas.openxmlformats.org/officeDocument/2006/relationships/hyperlink" Target="https://gist.github.com/lifewinning/9e889d3e5b556ceff5f3" TargetMode="External"/><Relationship Id="rId27" Type="http://schemas.openxmlformats.org/officeDocument/2006/relationships/hyperlink" Target="https://www.oncor.com/content/oncorwww/us/en/home/smart-energy/electric-vehicles/commercial.html" TargetMode="External"/><Relationship Id="rId30" Type="http://schemas.openxmlformats.org/officeDocument/2006/relationships/hyperlink" Target="https://stormcenter.oncor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Epdf&amp;parent=%2Fteams%2FPublic%2FTM2%2FShared%20Documents%2FPublic%2FRegulatory%2FTariff%2DSCE%20Tariff%20Books%2FElectric%2FSchedules%2FGeneral%20Service%20%26%20Industrial%20Rates" TargetMode="External"/><Relationship Id="rId18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8%2Epdf&amp;parent=%2Fteams%2FPublic%2FTM2%2FShared%20Documents%2FPublic%2FRegulatory%2FTariff%2DSCE%20Tariff%20Books%2FElectric%2FSchedules%2FGeneral%20Service%20%26%20Industrial%20Rates" TargetMode="External"/><Relationship Id="rId26" Type="http://schemas.openxmlformats.org/officeDocument/2006/relationships/hyperlink" Target="https://www.pge.com/tariffs/assets/pdf/tariffbook/ELEC_SCHEDS_B-20.pdf" TargetMode="External"/><Relationship Id="rId39" Type="http://schemas.openxmlformats.org/officeDocument/2006/relationships/hyperlink" Target="https://www.coned.com/en/accounts-billing/your-bill/rate-calculators/market-supply-charge" TargetMode="External"/><Relationship Id="rId21" Type="http://schemas.openxmlformats.org/officeDocument/2006/relationships/hyperlink" Target="https://www.pge.com/tariffs/assets/pdf/tariffbook/ELEC_SCHEDS_B-1.pdf" TargetMode="External"/><Relationship Id="rId34" Type="http://schemas.openxmlformats.org/officeDocument/2006/relationships/hyperlink" Target="https://tariff.sdge.com/tm2/pdf/ELEC_ELEC-SCHEDS_AL-TOU2.pdf" TargetMode="External"/><Relationship Id="rId42" Type="http://schemas.openxmlformats.org/officeDocument/2006/relationships/hyperlink" Target="https://cdn.entergy-texas.com/userfiles/content/price/tariffs/eti_lgs.pdf?_ga=2.227570653.1513829407.1669185651-613275957.1666502086" TargetMode="External"/><Relationship Id="rId47" Type="http://schemas.openxmlformats.org/officeDocument/2006/relationships/hyperlink" Target="https://www.puc.texas.gov/consumer/electricity/polr.aspx" TargetMode="External"/><Relationship Id="rId50" Type="http://schemas.openxmlformats.org/officeDocument/2006/relationships/hyperlink" Target="https://www.cpsenergy.com/en/about-us/who-we-are/rates.html" TargetMode="External"/><Relationship Id="rId55" Type="http://schemas.openxmlformats.org/officeDocument/2006/relationships/hyperlink" Target="https://austinenergy.com/ae/rates/approved-rates-schedules/approved-electric-rates" TargetMode="External"/><Relationship Id="rId7" Type="http://schemas.openxmlformats.org/officeDocument/2006/relationships/hyperlink" Target="https://www.pge.com/tariffs/assets/pdf/tariffbook/ELEC_SCHEDS_BEV.pdf" TargetMode="External"/><Relationship Id="rId2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1%2Epdf&amp;parent=%2Fteams%2FPublic%2FTM2%2FShared%20Documents%2FPublic%2FRegulatory%2FTariff%2DSCE%20Tariff%20Books%2FElectric%2FSchedules%2FGeneral%20Service%20%26%20Industrial%20Rates" TargetMode="External"/><Relationship Id="rId16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Epdf&amp;parent=%2Fteams%2FPublic%2FTM2%2FShared%20Documents%2FPublic%2FRegulatory%2FTariff%2DSCE%20Tariff%20Books%2FElectric%2FSchedules%2FGeneral%20Service%20%26%20Industrial%20Rates" TargetMode="External"/><Relationship Id="rId29" Type="http://schemas.openxmlformats.org/officeDocument/2006/relationships/hyperlink" Target="https://tariff.sdge.com/tm2/pdf/ELEC_ELEC-SCHEDS_TOU-M.pdf" TargetMode="External"/><Relationship Id="rId11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EV%2D9%2Epdf&amp;parent=%2Fteams%2FPublic%2FTM2%2FShared%20Documents%2FPublic%2FRegulatory%2FTariff%2DSCE%20Tariff%20Books%2FElectric%2FSchedules%2FGeneral%20Service%20%26%20Industrial%20Rates" TargetMode="External"/><Relationship Id="rId24" Type="http://schemas.openxmlformats.org/officeDocument/2006/relationships/hyperlink" Target="https://www.pge.com/tariffs/assets/pdf/tariffbook/ELEC_SCHEDS_B-10.pdf" TargetMode="External"/><Relationship Id="rId32" Type="http://schemas.openxmlformats.org/officeDocument/2006/relationships/hyperlink" Target="https://tariff.sdge.com/tm2/ssi/inc_elec_rates_commodity.html" TargetMode="External"/><Relationship Id="rId37" Type="http://schemas.openxmlformats.org/officeDocument/2006/relationships/hyperlink" Target="https://lite.coned.com/_external/cerates/elec.asp" TargetMode="External"/><Relationship Id="rId40" Type="http://schemas.openxmlformats.org/officeDocument/2006/relationships/hyperlink" Target="http://icap.nyiso.com/ucap/public/auc_view_default_reference_price_detail.do" TargetMode="External"/><Relationship Id="rId45" Type="http://schemas.openxmlformats.org/officeDocument/2006/relationships/hyperlink" Target="https://www.puc.texas.gov/consumer/electricity/polr.aspx" TargetMode="External"/><Relationship Id="rId53" Type="http://schemas.openxmlformats.org/officeDocument/2006/relationships/hyperlink" Target="https://www.puc.texas.gov/consumer/electricity/polr.aspx" TargetMode="External"/><Relationship Id="rId5" Type="http://schemas.openxmlformats.org/officeDocument/2006/relationships/hyperlink" Target="https://edisonintl.sharepoint.com/teams/Public/TM2/Shared%20Documents/Forms/AllItems.aspx?viewid=c9868ae1%2Df1cd%2D43b6%2Da712%2Dd734ff79e266&amp;ga=1&amp;id=%2Fteams%2FPublic%2FTM2%2FShared%20Documents%2FPublic%2FRegulatory%2FTariff%2DSCE%20Tariff%20Books%2FElectric%2FSchedules%2FGeneral%20Service%20%26%20Industrial%20Rates%2FELECTRIC%5FSCHEDULES%5FTOU%2DEV%2D8%2Epdf&amp;parent=%2Fteams%2FPublic%2FTM2%2FShared%20Documents%2FPublic%2FRegulatory%2FTariff%2DSCE%20Tariff%20Books%2FElectric%2FSchedules%2FGeneral%20Service%20%26%20Industrial%20Rates" TargetMode="External"/><Relationship Id="rId10" Type="http://schemas.openxmlformats.org/officeDocument/2006/relationships/hyperlink" Target="https://edisonintl.sharepoint.com/teams/Public/TM2/Shared%20Documents/Forms/AllItems.aspx?viewid=c9868ae1%2Df1cd%2D43b6%2Da712%2Dd734ff79e266&amp;ga=1&amp;id=%2Fteams%2FPublic%2FTM2%2FShared%20Documents%2FPublic%2FRegulatory%2FTariff%2DSCE%20Tariff%20Books%2FElectric%2FSchedules%2FGeneral%20Service%20%26%20Industrial%20Rates%2FELECTRIC%5FSCHEDULES%5FTOU%2DEV%2D7%2Epdf&amp;parent=%2Fteams%2FPublic%2FTM2%2FShared%20Documents%2FPublic%2FRegulatory%2FTariff%2DSCE%20Tariff%20Books%2FElectric%2FSchedules%2FGeneral%20Service%20%26%20Industrial%20Rates" TargetMode="External"/><Relationship Id="rId19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8%2DRTP%2Epdf&amp;parent=%2Fteams%2FPublic%2FTM2%2FShared%20Documents%2FPublic%2FRegulatory%2FTariff%2DSCE%20Tariff%20Books%2FElectric%2FSchedules%2FGeneral%20Service%20%26%20Industrial%20Rates" TargetMode="External"/><Relationship Id="rId31" Type="http://schemas.openxmlformats.org/officeDocument/2006/relationships/hyperlink" Target="https://www.sdge.com/business/electric-vehicles/power-your-drive-for-fleets/ev-hp" TargetMode="External"/><Relationship Id="rId44" Type="http://schemas.openxmlformats.org/officeDocument/2006/relationships/hyperlink" Target="http://www.energyonline.com/Data/GenericData.aspx?DataId=4" TargetMode="External"/><Relationship Id="rId52" Type="http://schemas.openxmlformats.org/officeDocument/2006/relationships/hyperlink" Target="https://www.cpsenergy.com/content/dam/corporate/en/Documents/Rate_LargeLightingPowerService.pdf" TargetMode="External"/><Relationship Id="rId4" Type="http://schemas.openxmlformats.org/officeDocument/2006/relationships/hyperlink" Target="https://edisonintl.sharepoint.com/teams/Public/TM2/Shared%20Documents/Forms/AllItems.aspx?viewid=c9868ae1%2Df1cd%2D43b6%2Da712%2Dd734ff79e266&amp;ga=1&amp;id=%2Fteams%2FPublic%2FTM2%2FShared%20Documents%2FPublic%2FRegulatory%2FTariff%2DSCE%20Tariff%20Books%2FElectric%2FSchedules%2FGeneral%20Service%20%26%20Industrial%20Rates%2FELECTRIC%5FSCHEDULES%5FTOU%2DEV%2D7%2Epdf&amp;parent=%2Fteams%2FPublic%2FTM2%2FShared%20Documents%2FPublic%2FRegulatory%2FTariff%2DSCE%20Tariff%20Books%2FElectric%2FSchedules%2FGeneral%20Service%20%26%20Industrial%20Rates" TargetMode="External"/><Relationship Id="rId9" Type="http://schemas.openxmlformats.org/officeDocument/2006/relationships/hyperlink" Target="https://www.sdge.com/rates-and-regulations/current-and-effective-tariffs" TargetMode="External"/><Relationship Id="rId14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DRTP%2Epdf&amp;parent=%2Fteams%2FPublic%2FTM2%2FShared%20Documents%2FPublic%2FRegulatory%2FTariff%2DSCE%20Tariff%20Books%2FElectric%2FSchedules%2FGeneral%20Service%20%26%20Industrial%20Rates" TargetMode="External"/><Relationship Id="rId22" Type="http://schemas.openxmlformats.org/officeDocument/2006/relationships/hyperlink" Target="https://www.pge.com/tariffs/assets/pdf/tariffbook/ELEC_SCHEDS_B-1.pdf" TargetMode="External"/><Relationship Id="rId27" Type="http://schemas.openxmlformats.org/officeDocument/2006/relationships/hyperlink" Target="https://www.pge.com/tariffs/assets/pdf/tariffbook/ELEC_SCHEDS_B-19.pdf" TargetMode="External"/><Relationship Id="rId30" Type="http://schemas.openxmlformats.org/officeDocument/2006/relationships/hyperlink" Target="https://tariff.sdge.com/tm2/pdf/ELEC_ELEC-SCHEDS_EV-HP.pdf" TargetMode="External"/><Relationship Id="rId35" Type="http://schemas.openxmlformats.org/officeDocument/2006/relationships/hyperlink" Target="https://www.pjm.com/markets-and-operations/rpm.aspx" TargetMode="External"/><Relationship Id="rId43" Type="http://schemas.openxmlformats.org/officeDocument/2006/relationships/hyperlink" Target="https://www.puc.texas.gov/consumer/electricity/polr.aspx" TargetMode="External"/><Relationship Id="rId48" Type="http://schemas.openxmlformats.org/officeDocument/2006/relationships/hyperlink" Target="http://www.energyonline.com/Data/GenericData.aspx?DataId=4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www.pge.com/tariffs/assets/pdf/tariffbook/ELEC_SCHEDS_BEV.pdf" TargetMode="External"/><Relationship Id="rId51" Type="http://schemas.openxmlformats.org/officeDocument/2006/relationships/hyperlink" Target="https://www.cpsenergy.com/content/dam/corporate/en/Documents/Rate_LargeLightingPowerService.pdf" TargetMode="External"/><Relationship Id="rId3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1%2DRTP%2Epdf&amp;parent=%2Fteams%2FPublic%2FTM2%2FShared%20Documents%2FPublic%2FRegulatory%2FTariff%2DSCE%20Tariff%20Books%2FElectric%2FSchedules%2FGeneral%20Service%20%26%20Industrial%20Rates" TargetMode="External"/><Relationship Id="rId12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Epdf&amp;parent=%2Fteams%2FPublic%2FTM2%2FShared%20Documents%2FPublic%2FRegulatory%2FTariff%2DSCE%20Tariff%20Books%2FElectric%2FSchedules%2FGeneral%20Service%20%26%20Industrial%20Rates" TargetMode="External"/><Relationship Id="rId17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DRTP%2Epdf&amp;parent=%2Fteams%2FPublic%2FTM2%2FShared%20Documents%2FPublic%2FRegulatory%2FTariff%2DSCE%20Tariff%20Books%2FElectric%2FSchedules%2FGeneral%20Service%20%26%20Industrial%20Rates" TargetMode="External"/><Relationship Id="rId25" Type="http://schemas.openxmlformats.org/officeDocument/2006/relationships/hyperlink" Target="https://www.pge.com/tariffs/assets/pdf/tariffbook/ELEC_SCHEDS_B-19.pdf" TargetMode="External"/><Relationship Id="rId33" Type="http://schemas.openxmlformats.org/officeDocument/2006/relationships/hyperlink" Target="https://tariff.sdge.com/tm2/pdf/ELEC_ELEC-SCHEDS_AL-TOU.pdf" TargetMode="External"/><Relationship Id="rId38" Type="http://schemas.openxmlformats.org/officeDocument/2006/relationships/hyperlink" Target="http://www.energyonline.com/Data/GenericData.aspx?DataId=11&amp;NYISO___Day-Ahead_Energy_Price" TargetMode="External"/><Relationship Id="rId46" Type="http://schemas.openxmlformats.org/officeDocument/2006/relationships/hyperlink" Target="http://www.energyonline.com/Data/GenericData.aspx?DataId=4" TargetMode="External"/><Relationship Id="rId20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8%2Epdf&amp;parent=%2Fteams%2FPublic%2FTM2%2FShared%20Documents%2FPublic%2FRegulatory%2FTariff%2DSCE%20Tariff%20Books%2FElectric%2FSchedules%2FGeneral%20Service%20%26%20Industrial%20Rates" TargetMode="External"/><Relationship Id="rId41" Type="http://schemas.openxmlformats.org/officeDocument/2006/relationships/hyperlink" Target="https://www.centerpointenergy.com/en-us/Corp/Pages/rates-and-tariffs-electric.aspx" TargetMode="External"/><Relationship Id="rId54" Type="http://schemas.openxmlformats.org/officeDocument/2006/relationships/hyperlink" Target="http://www.energyonline.com/Data/GenericData.aspx?DataId=4" TargetMode="External"/><Relationship Id="rId1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1%2Epdf&amp;parent=%2Fteams%2FPublic%2FTM2%2FShared%20Documents%2FPublic%2FRegulatory%2FTariff%2DSCE%20Tariff%20Books%2FElectric%2FSchedules%2FGeneral%20Service%20%26%20Industrial%20Rates" TargetMode="External"/><Relationship Id="rId6" Type="http://schemas.openxmlformats.org/officeDocument/2006/relationships/hyperlink" Target="https://www.pge.com/tariffs/index.page" TargetMode="External"/><Relationship Id="rId15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Epdf&amp;parent=%2Fteams%2FPublic%2FTM2%2FShared%20Documents%2FPublic%2FRegulatory%2FTariff%2DSCE%20Tariff%20Books%2FElectric%2FSchedules%2FGeneral%20Service%20%26%20Industrial%20Rates" TargetMode="External"/><Relationship Id="rId23" Type="http://schemas.openxmlformats.org/officeDocument/2006/relationships/hyperlink" Target="https://www.pge.com/tariffs/assets/pdf/tariffbook/ELEC_SCHEDS_B-6.pdf" TargetMode="External"/><Relationship Id="rId28" Type="http://schemas.openxmlformats.org/officeDocument/2006/relationships/hyperlink" Target="https://www.pge.com/tariffs/assets/pdf/tariffbook/ELEC_SCHEDS_B-20.pdf" TargetMode="External"/><Relationship Id="rId36" Type="http://schemas.openxmlformats.org/officeDocument/2006/relationships/hyperlink" Target="https://dataminer2.pjm.com/feed/da_hrl_lmps/definition" TargetMode="External"/><Relationship Id="rId49" Type="http://schemas.openxmlformats.org/officeDocument/2006/relationships/hyperlink" Target="https://www.oncor.com/content/oncorwww/us/en/home/about-us/regulatory/tariffs-rate-schedules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.gov.cn/art/2020/11/26/art_1229203592_2147123.html" TargetMode="External"/><Relationship Id="rId3" Type="http://schemas.openxmlformats.org/officeDocument/2006/relationships/hyperlink" Target="http://www.zj.gov.cn/art/2020/11/26/art_1229203592_2147123.html" TargetMode="External"/><Relationship Id="rId7" Type="http://schemas.openxmlformats.org/officeDocument/2006/relationships/hyperlink" Target="http://jsdrc.jiangsu.gov.cn/art/2020/11/3/art_319_9574172.html" TargetMode="External"/><Relationship Id="rId2" Type="http://schemas.openxmlformats.org/officeDocument/2006/relationships/hyperlink" Target="http://jsdrc.jiangsu.gov.cn/art/2020/11/3/art_319_9574172.html" TargetMode="External"/><Relationship Id="rId1" Type="http://schemas.openxmlformats.org/officeDocument/2006/relationships/hyperlink" Target="https://www.in-en.com/article/html/energy-2298879.shtml" TargetMode="External"/><Relationship Id="rId6" Type="http://schemas.openxmlformats.org/officeDocument/2006/relationships/hyperlink" Target="http://jsdrc.jiangsu.gov.cn/art/2020/11/3/art_319_9574172.html" TargetMode="External"/><Relationship Id="rId5" Type="http://schemas.openxmlformats.org/officeDocument/2006/relationships/hyperlink" Target="https://www.in-en.com/article/html/energy-2298879.shtml" TargetMode="External"/><Relationship Id="rId4" Type="http://schemas.openxmlformats.org/officeDocument/2006/relationships/hyperlink" Target="https://www.in-en.com/article/html/energy-2298879.shtml" TargetMode="External"/><Relationship Id="rId9" Type="http://schemas.openxmlformats.org/officeDocument/2006/relationships/hyperlink" Target="http://www.zj.gov.cn/art/2020/11/26/art_1229203592_2147123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ibrary.sce.com/content/dam/sce-doclib/public/regulatory/tariff/electric/schedules/general-service-&amp;-industrial-rates/ELECTRIC_SCHEDULES_TOU-EV-8.pdf" TargetMode="External"/><Relationship Id="rId13" Type="http://schemas.openxmlformats.org/officeDocument/2006/relationships/hyperlink" Target="https://www.sdge.com/sites/default/files/sdge.pydff_-_rate_waiver_fact_sheet.pdf" TargetMode="External"/><Relationship Id="rId3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7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12" Type="http://schemas.openxmlformats.org/officeDocument/2006/relationships/hyperlink" Target="https://www.sdge.com/rates-and-regulations/current-and-effective-tariffs" TargetMode="External"/><Relationship Id="rId2" Type="http://schemas.openxmlformats.org/officeDocument/2006/relationships/hyperlink" Target="https://library.sce.com/content/dam/sce-doclib/public/regulatory/tariff/electric/schedules/general-service-&amp;-industrial-rates/ELECTRIC_SCHEDULES_GS-1.pdf" TargetMode="External"/><Relationship Id="rId1" Type="http://schemas.openxmlformats.org/officeDocument/2006/relationships/hyperlink" Target="https://library.sce.com/?10000_group.propertyvalues.property=jcr%3Acontent%2Fmetadata%2Fcq%3Atags&amp;10000_group.propertyvalues.operation=equals&amp;10000_group.propertyvalues.0_values=sce-document-library%3Aregulatory%2Fsce-tariff-books%2Felectric%2Fschedules%2Fgeneral-service-%26-industrial-rates" TargetMode="External"/><Relationship Id="rId6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11" Type="http://schemas.openxmlformats.org/officeDocument/2006/relationships/hyperlink" Target="https://www.pge.com/tariffs/assets/pdf/tariffbook/ELEC_SCHEDS_BEV.pdf" TargetMode="External"/><Relationship Id="rId5" Type="http://schemas.openxmlformats.org/officeDocument/2006/relationships/hyperlink" Target="https://library.sce.com/content/dam/sce-doclib/public/regulatory/tariff/electric/schedules/general-service-&amp;-industrial-rates/ELECTRIC_SCHEDULES_TOU-GS-1-RTP.pdf" TargetMode="External"/><Relationship Id="rId10" Type="http://schemas.openxmlformats.org/officeDocument/2006/relationships/hyperlink" Target="https://www.pge.com/tariffs/assets/pdf/tariffbook/ELEC_SCHEDS_BEV.pdf" TargetMode="External"/><Relationship Id="rId4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9" Type="http://schemas.openxmlformats.org/officeDocument/2006/relationships/hyperlink" Target="https://www.pge.com/tariffs/index.page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5A68-7DBD-8A49-8FE0-562A9047000D}">
  <dimension ref="B1:U45"/>
  <sheetViews>
    <sheetView zoomScale="139" workbookViewId="0">
      <selection activeCell="G4" sqref="G4:L5"/>
    </sheetView>
  </sheetViews>
  <sheetFormatPr baseColWidth="10" defaultRowHeight="16"/>
  <cols>
    <col min="1" max="1" width="1.6640625" customWidth="1"/>
    <col min="6" max="21" width="10.83203125" style="68"/>
  </cols>
  <sheetData>
    <row r="1" spans="2:21" ht="10" customHeight="1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2:21" s="62" customFormat="1" ht="34">
      <c r="B2" s="63" t="s">
        <v>518</v>
      </c>
      <c r="C2" s="63" t="s">
        <v>517</v>
      </c>
      <c r="D2" s="63" t="s">
        <v>519</v>
      </c>
      <c r="E2" s="63" t="s">
        <v>521</v>
      </c>
      <c r="F2" s="63" t="s">
        <v>520</v>
      </c>
      <c r="G2" s="63" t="s">
        <v>522</v>
      </c>
      <c r="H2" s="63"/>
      <c r="I2" s="63"/>
      <c r="J2" s="63"/>
      <c r="K2" s="63"/>
      <c r="L2" s="63"/>
      <c r="M2" s="63" t="s">
        <v>523</v>
      </c>
    </row>
    <row r="3" spans="2:21" s="38" customFormat="1">
      <c r="F3" s="38" t="s">
        <v>515</v>
      </c>
      <c r="G3" s="38" t="s">
        <v>516</v>
      </c>
      <c r="M3" s="38" t="s">
        <v>516</v>
      </c>
    </row>
    <row r="4" spans="2:21" s="38" customFormat="1">
      <c r="G4" s="38" t="s">
        <v>546</v>
      </c>
      <c r="I4" s="38" t="s">
        <v>544</v>
      </c>
      <c r="K4" s="38" t="s">
        <v>545</v>
      </c>
      <c r="M4" s="38" t="s">
        <v>546</v>
      </c>
      <c r="P4" s="38" t="s">
        <v>544</v>
      </c>
      <c r="S4" s="38" t="s">
        <v>545</v>
      </c>
    </row>
    <row r="5" spans="2:21" s="38" customFormat="1">
      <c r="G5" s="38" t="s">
        <v>547</v>
      </c>
      <c r="H5" s="38" t="s">
        <v>81</v>
      </c>
      <c r="I5" s="38" t="s">
        <v>547</v>
      </c>
      <c r="J5" s="38" t="s">
        <v>81</v>
      </c>
      <c r="K5" s="38" t="s">
        <v>547</v>
      </c>
      <c r="L5" s="38" t="s">
        <v>81</v>
      </c>
      <c r="M5" s="38" t="s">
        <v>547</v>
      </c>
      <c r="N5" s="38" t="s">
        <v>524</v>
      </c>
      <c r="O5" s="38" t="s">
        <v>81</v>
      </c>
      <c r="P5" s="38" t="s">
        <v>547</v>
      </c>
      <c r="Q5" s="38" t="s">
        <v>524</v>
      </c>
      <c r="R5" s="38" t="s">
        <v>81</v>
      </c>
      <c r="S5" s="38" t="s">
        <v>547</v>
      </c>
      <c r="T5" s="38" t="s">
        <v>524</v>
      </c>
      <c r="U5" s="38" t="s">
        <v>81</v>
      </c>
    </row>
    <row r="6" spans="2:21">
      <c r="B6" t="s">
        <v>511</v>
      </c>
      <c r="C6">
        <v>4</v>
      </c>
      <c r="D6">
        <v>5</v>
      </c>
      <c r="E6" t="s">
        <v>538</v>
      </c>
      <c r="F6" s="69" t="s">
        <v>530</v>
      </c>
      <c r="G6" s="70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</row>
    <row r="7" spans="2:21">
      <c r="C7">
        <v>4</v>
      </c>
      <c r="D7">
        <v>5</v>
      </c>
      <c r="E7" t="s">
        <v>539</v>
      </c>
      <c r="F7" s="69" t="s">
        <v>530</v>
      </c>
      <c r="G7" s="70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</row>
    <row r="8" spans="2:21">
      <c r="C8">
        <v>4</v>
      </c>
      <c r="D8">
        <v>5</v>
      </c>
      <c r="E8" t="s">
        <v>540</v>
      </c>
      <c r="F8" s="69" t="s">
        <v>530</v>
      </c>
      <c r="G8" s="70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</row>
    <row r="9" spans="2:21">
      <c r="C9">
        <v>4</v>
      </c>
      <c r="D9">
        <v>5</v>
      </c>
      <c r="E9" t="s">
        <v>541</v>
      </c>
      <c r="F9" s="69" t="s">
        <v>530</v>
      </c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</row>
    <row r="10" spans="2:21">
      <c r="C10">
        <v>4</v>
      </c>
      <c r="D10">
        <v>5</v>
      </c>
      <c r="E10" t="s">
        <v>542</v>
      </c>
      <c r="F10" s="69" t="s">
        <v>530</v>
      </c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</row>
    <row r="11" spans="2:21">
      <c r="C11">
        <v>4</v>
      </c>
      <c r="D11">
        <v>7</v>
      </c>
      <c r="E11" t="s">
        <v>512</v>
      </c>
      <c r="F11" s="71"/>
      <c r="G11" s="72" t="s">
        <v>530</v>
      </c>
      <c r="H11" s="72" t="s">
        <v>530</v>
      </c>
      <c r="I11" s="72" t="s">
        <v>530</v>
      </c>
      <c r="J11" s="72" t="s">
        <v>530</v>
      </c>
      <c r="K11" s="71"/>
      <c r="L11" s="71"/>
      <c r="M11" s="72" t="s">
        <v>530</v>
      </c>
      <c r="N11" s="72" t="s">
        <v>530</v>
      </c>
      <c r="O11" s="72" t="s">
        <v>530</v>
      </c>
      <c r="P11" s="72" t="s">
        <v>530</v>
      </c>
      <c r="Q11" s="72" t="s">
        <v>530</v>
      </c>
      <c r="R11" s="72" t="s">
        <v>530</v>
      </c>
      <c r="S11" s="71"/>
      <c r="T11" s="71"/>
      <c r="U11" s="71"/>
    </row>
    <row r="12" spans="2:21">
      <c r="C12">
        <v>4</v>
      </c>
      <c r="D12">
        <v>7</v>
      </c>
      <c r="E12" t="s">
        <v>513</v>
      </c>
      <c r="F12" s="71"/>
      <c r="G12" s="72" t="s">
        <v>530</v>
      </c>
      <c r="H12" s="72" t="s">
        <v>530</v>
      </c>
      <c r="I12" s="72" t="s">
        <v>530</v>
      </c>
      <c r="J12" s="72" t="s">
        <v>530</v>
      </c>
      <c r="K12" s="71"/>
      <c r="L12" s="71"/>
      <c r="M12" s="72" t="s">
        <v>530</v>
      </c>
      <c r="N12" s="72" t="s">
        <v>530</v>
      </c>
      <c r="O12" s="72" t="s">
        <v>530</v>
      </c>
      <c r="P12" s="72" t="s">
        <v>530</v>
      </c>
      <c r="Q12" s="72" t="s">
        <v>530</v>
      </c>
      <c r="R12" s="72" t="s">
        <v>530</v>
      </c>
      <c r="S12" s="71"/>
      <c r="T12" s="71"/>
      <c r="U12" s="71"/>
    </row>
    <row r="13" spans="2:21">
      <c r="C13">
        <v>4</v>
      </c>
      <c r="D13">
        <v>7</v>
      </c>
      <c r="E13" t="s">
        <v>514</v>
      </c>
      <c r="F13" s="71"/>
      <c r="G13" s="72" t="s">
        <v>530</v>
      </c>
      <c r="H13" s="72" t="s">
        <v>530</v>
      </c>
      <c r="I13" s="72" t="s">
        <v>530</v>
      </c>
      <c r="J13" s="72" t="s">
        <v>530</v>
      </c>
      <c r="K13" s="71"/>
      <c r="L13" s="71"/>
      <c r="M13" s="72" t="s">
        <v>530</v>
      </c>
      <c r="N13" s="72" t="s">
        <v>530</v>
      </c>
      <c r="O13" s="72" t="s">
        <v>530</v>
      </c>
      <c r="P13" s="72" t="s">
        <v>530</v>
      </c>
      <c r="Q13" s="72" t="s">
        <v>530</v>
      </c>
      <c r="R13" s="72" t="s">
        <v>530</v>
      </c>
      <c r="S13" s="71"/>
      <c r="T13" s="71"/>
      <c r="U13" s="71"/>
    </row>
    <row r="14" spans="2:21">
      <c r="B14" t="s">
        <v>531</v>
      </c>
      <c r="C14">
        <v>3</v>
      </c>
      <c r="D14">
        <v>4</v>
      </c>
      <c r="E14" t="s">
        <v>538</v>
      </c>
      <c r="F14" s="69" t="s">
        <v>530</v>
      </c>
      <c r="G14" s="70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</row>
    <row r="15" spans="2:21">
      <c r="C15">
        <v>3</v>
      </c>
      <c r="D15">
        <v>4</v>
      </c>
      <c r="E15" t="s">
        <v>539</v>
      </c>
      <c r="F15" s="69" t="s">
        <v>530</v>
      </c>
      <c r="G15" s="70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</row>
    <row r="16" spans="2:21">
      <c r="C16">
        <v>3</v>
      </c>
      <c r="D16">
        <v>4</v>
      </c>
      <c r="E16" t="s">
        <v>540</v>
      </c>
      <c r="F16" s="69" t="s">
        <v>530</v>
      </c>
      <c r="G16" s="70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</row>
    <row r="17" spans="2:21">
      <c r="C17">
        <v>3</v>
      </c>
      <c r="D17">
        <v>4</v>
      </c>
      <c r="E17" t="s">
        <v>541</v>
      </c>
      <c r="F17" s="72" t="s">
        <v>530</v>
      </c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</row>
    <row r="18" spans="2:21">
      <c r="C18">
        <v>3</v>
      </c>
      <c r="D18">
        <v>4</v>
      </c>
      <c r="E18" t="s">
        <v>542</v>
      </c>
      <c r="F18" s="72" t="s">
        <v>530</v>
      </c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</row>
    <row r="19" spans="2:21">
      <c r="C19">
        <v>3</v>
      </c>
      <c r="D19">
        <v>5</v>
      </c>
      <c r="E19" t="s">
        <v>512</v>
      </c>
      <c r="F19" s="71"/>
      <c r="G19" s="72" t="s">
        <v>530</v>
      </c>
      <c r="H19" s="72" t="s">
        <v>530</v>
      </c>
      <c r="I19" s="72" t="s">
        <v>530</v>
      </c>
      <c r="J19" s="71"/>
      <c r="K19" s="72" t="s">
        <v>530</v>
      </c>
      <c r="L19" s="71"/>
      <c r="M19" s="72" t="s">
        <v>530</v>
      </c>
      <c r="N19" s="72" t="s">
        <v>530</v>
      </c>
      <c r="O19" s="72" t="s">
        <v>530</v>
      </c>
      <c r="P19" s="72" t="s">
        <v>530</v>
      </c>
      <c r="Q19" s="72" t="s">
        <v>530</v>
      </c>
      <c r="R19" s="71"/>
      <c r="S19" s="72" t="s">
        <v>530</v>
      </c>
      <c r="T19" s="72" t="s">
        <v>530</v>
      </c>
      <c r="U19" s="71"/>
    </row>
    <row r="20" spans="2:21">
      <c r="C20">
        <v>3</v>
      </c>
      <c r="D20">
        <v>5</v>
      </c>
      <c r="E20" t="s">
        <v>513</v>
      </c>
      <c r="F20" s="71"/>
      <c r="G20" s="72" t="s">
        <v>530</v>
      </c>
      <c r="H20" s="72" t="s">
        <v>530</v>
      </c>
      <c r="I20" s="72" t="s">
        <v>530</v>
      </c>
      <c r="J20" s="71"/>
      <c r="K20" s="72" t="s">
        <v>530</v>
      </c>
      <c r="L20" s="71"/>
      <c r="M20" s="72" t="s">
        <v>530</v>
      </c>
      <c r="N20" s="72" t="s">
        <v>530</v>
      </c>
      <c r="O20" s="72" t="s">
        <v>530</v>
      </c>
      <c r="P20" s="72" t="s">
        <v>530</v>
      </c>
      <c r="Q20" s="72" t="s">
        <v>530</v>
      </c>
      <c r="R20" s="71"/>
      <c r="S20" s="72" t="s">
        <v>530</v>
      </c>
      <c r="T20" s="72" t="s">
        <v>530</v>
      </c>
      <c r="U20" s="71"/>
    </row>
    <row r="21" spans="2:21">
      <c r="C21">
        <v>3</v>
      </c>
      <c r="D21">
        <v>5</v>
      </c>
      <c r="E21" t="s">
        <v>514</v>
      </c>
      <c r="F21" s="71"/>
      <c r="G21" s="72" t="s">
        <v>530</v>
      </c>
      <c r="H21" s="72" t="s">
        <v>530</v>
      </c>
      <c r="I21" s="72" t="s">
        <v>530</v>
      </c>
      <c r="J21" s="71"/>
      <c r="K21" s="72" t="s">
        <v>530</v>
      </c>
      <c r="L21" s="71"/>
      <c r="M21" s="72" t="s">
        <v>530</v>
      </c>
      <c r="N21" s="72" t="s">
        <v>530</v>
      </c>
      <c r="O21" s="72" t="s">
        <v>530</v>
      </c>
      <c r="P21" s="72" t="s">
        <v>530</v>
      </c>
      <c r="Q21" s="72" t="s">
        <v>530</v>
      </c>
      <c r="R21" s="71"/>
      <c r="S21" s="72" t="s">
        <v>530</v>
      </c>
      <c r="T21" s="72" t="s">
        <v>530</v>
      </c>
      <c r="U21" s="71"/>
    </row>
    <row r="22" spans="2:21">
      <c r="B22" t="s">
        <v>550</v>
      </c>
      <c r="C22">
        <v>3</v>
      </c>
      <c r="D22">
        <v>4</v>
      </c>
      <c r="E22" t="s">
        <v>538</v>
      </c>
      <c r="F22" s="69" t="s">
        <v>530</v>
      </c>
      <c r="G22" s="70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</row>
    <row r="23" spans="2:21">
      <c r="C23">
        <v>3</v>
      </c>
      <c r="D23">
        <v>4</v>
      </c>
      <c r="E23" t="s">
        <v>539</v>
      </c>
      <c r="F23" s="69" t="s">
        <v>530</v>
      </c>
      <c r="G23" s="70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</row>
    <row r="24" spans="2:21">
      <c r="C24">
        <v>3</v>
      </c>
      <c r="D24">
        <v>4</v>
      </c>
      <c r="E24" t="s">
        <v>540</v>
      </c>
      <c r="F24" s="69" t="s">
        <v>530</v>
      </c>
      <c r="G24" s="70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</row>
    <row r="25" spans="2:21">
      <c r="C25">
        <v>3</v>
      </c>
      <c r="D25">
        <v>4</v>
      </c>
      <c r="E25" t="s">
        <v>541</v>
      </c>
      <c r="F25" s="69" t="s">
        <v>530</v>
      </c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</row>
    <row r="26" spans="2:21">
      <c r="C26">
        <v>3</v>
      </c>
      <c r="D26">
        <v>4</v>
      </c>
      <c r="E26" t="s">
        <v>542</v>
      </c>
      <c r="F26" s="69" t="s">
        <v>530</v>
      </c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</row>
    <row r="27" spans="2:21">
      <c r="C27">
        <v>3</v>
      </c>
      <c r="D27">
        <v>5</v>
      </c>
      <c r="E27" t="s">
        <v>512</v>
      </c>
      <c r="F27" s="71"/>
      <c r="G27" s="72" t="s">
        <v>530</v>
      </c>
      <c r="H27" s="71"/>
      <c r="I27" s="72" t="s">
        <v>530</v>
      </c>
      <c r="J27" s="71"/>
      <c r="K27" s="71"/>
      <c r="L27" s="71"/>
      <c r="M27" s="72" t="s">
        <v>530</v>
      </c>
      <c r="N27" s="71"/>
      <c r="O27" s="71"/>
      <c r="P27" s="72" t="s">
        <v>530</v>
      </c>
      <c r="Q27" s="71"/>
      <c r="R27" s="71"/>
      <c r="S27" s="71"/>
      <c r="T27" s="71"/>
      <c r="U27" s="71"/>
    </row>
    <row r="28" spans="2:21">
      <c r="C28">
        <v>3</v>
      </c>
      <c r="D28">
        <v>5</v>
      </c>
      <c r="E28" t="s">
        <v>513</v>
      </c>
      <c r="F28" s="71"/>
      <c r="G28" s="72" t="s">
        <v>530</v>
      </c>
      <c r="H28" s="71"/>
      <c r="I28" s="72" t="s">
        <v>530</v>
      </c>
      <c r="J28" s="71"/>
      <c r="K28" s="71"/>
      <c r="L28" s="71"/>
      <c r="M28" s="72" t="s">
        <v>530</v>
      </c>
      <c r="N28" s="71"/>
      <c r="O28" s="71"/>
      <c r="P28" s="72" t="s">
        <v>530</v>
      </c>
      <c r="Q28" s="71"/>
      <c r="R28" s="71"/>
      <c r="S28" s="71"/>
      <c r="T28" s="71"/>
      <c r="U28" s="71"/>
    </row>
    <row r="29" spans="2:21">
      <c r="C29">
        <v>3</v>
      </c>
      <c r="D29">
        <v>5</v>
      </c>
      <c r="E29" t="s">
        <v>514</v>
      </c>
      <c r="F29" s="71"/>
      <c r="G29" s="72" t="s">
        <v>530</v>
      </c>
      <c r="H29" s="71"/>
      <c r="I29" s="72" t="s">
        <v>530</v>
      </c>
      <c r="J29" s="71"/>
      <c r="K29" s="71"/>
      <c r="L29" s="71"/>
      <c r="M29" s="72" t="s">
        <v>530</v>
      </c>
      <c r="N29" s="71"/>
      <c r="O29" s="71"/>
      <c r="P29" s="72" t="s">
        <v>530</v>
      </c>
      <c r="Q29" s="71"/>
      <c r="R29" s="71"/>
      <c r="S29" s="71"/>
      <c r="T29" s="71"/>
      <c r="U29" s="71"/>
    </row>
    <row r="30" spans="2:21">
      <c r="B30" t="s">
        <v>282</v>
      </c>
      <c r="C30">
        <v>3</v>
      </c>
      <c r="D30">
        <v>4</v>
      </c>
      <c r="E30" t="s">
        <v>538</v>
      </c>
      <c r="F30" s="72" t="s">
        <v>530</v>
      </c>
      <c r="G30" s="70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</row>
    <row r="31" spans="2:21">
      <c r="C31">
        <v>3</v>
      </c>
      <c r="D31">
        <v>4</v>
      </c>
      <c r="E31" t="s">
        <v>539</v>
      </c>
      <c r="F31" s="72" t="s">
        <v>530</v>
      </c>
      <c r="G31" s="70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</row>
    <row r="32" spans="2:21">
      <c r="C32">
        <v>3</v>
      </c>
      <c r="D32">
        <v>4</v>
      </c>
      <c r="E32" t="s">
        <v>540</v>
      </c>
      <c r="F32" s="72" t="s">
        <v>530</v>
      </c>
      <c r="G32" s="70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</row>
    <row r="33" spans="2:21">
      <c r="C33">
        <v>3</v>
      </c>
      <c r="D33">
        <v>4</v>
      </c>
      <c r="E33" t="s">
        <v>541</v>
      </c>
      <c r="F33" s="72" t="s">
        <v>530</v>
      </c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</row>
    <row r="34" spans="2:21">
      <c r="C34">
        <v>3</v>
      </c>
      <c r="D34">
        <v>4</v>
      </c>
      <c r="E34" t="s">
        <v>542</v>
      </c>
      <c r="F34" s="72" t="s">
        <v>530</v>
      </c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</row>
    <row r="35" spans="2:21">
      <c r="C35">
        <v>3</v>
      </c>
      <c r="D35">
        <v>5</v>
      </c>
      <c r="E35" t="s">
        <v>512</v>
      </c>
      <c r="F35" s="71"/>
      <c r="G35" s="72" t="s">
        <v>530</v>
      </c>
      <c r="H35" s="71"/>
      <c r="I35" s="72" t="s">
        <v>530</v>
      </c>
      <c r="J35" s="71"/>
      <c r="K35" s="71"/>
      <c r="L35" s="71"/>
      <c r="M35" s="72" t="s">
        <v>530</v>
      </c>
      <c r="N35" s="71"/>
      <c r="O35" s="71"/>
      <c r="P35" s="72" t="s">
        <v>530</v>
      </c>
      <c r="Q35" s="71"/>
      <c r="R35" s="71"/>
      <c r="S35" s="71"/>
      <c r="T35" s="71"/>
      <c r="U35" s="71"/>
    </row>
    <row r="36" spans="2:21">
      <c r="C36">
        <v>3</v>
      </c>
      <c r="D36">
        <v>5</v>
      </c>
      <c r="E36" t="s">
        <v>513</v>
      </c>
      <c r="F36" s="71"/>
      <c r="G36" s="72" t="s">
        <v>530</v>
      </c>
      <c r="H36" s="71"/>
      <c r="I36" s="72" t="s">
        <v>530</v>
      </c>
      <c r="J36" s="71"/>
      <c r="K36" s="71"/>
      <c r="L36" s="71"/>
      <c r="M36" s="72" t="s">
        <v>530</v>
      </c>
      <c r="N36" s="71"/>
      <c r="O36" s="71"/>
      <c r="P36" s="72" t="s">
        <v>530</v>
      </c>
      <c r="Q36" s="71"/>
      <c r="R36" s="71"/>
      <c r="S36" s="71"/>
      <c r="T36" s="71"/>
      <c r="U36" s="71"/>
    </row>
    <row r="37" spans="2:21">
      <c r="C37">
        <v>3</v>
      </c>
      <c r="D37">
        <v>5</v>
      </c>
      <c r="E37" t="s">
        <v>514</v>
      </c>
      <c r="F37" s="71"/>
      <c r="G37" s="72" t="s">
        <v>530</v>
      </c>
      <c r="H37" s="71"/>
      <c r="I37" s="72" t="s">
        <v>530</v>
      </c>
      <c r="J37" s="71"/>
      <c r="K37" s="71"/>
      <c r="L37" s="71"/>
      <c r="M37" s="72" t="s">
        <v>530</v>
      </c>
      <c r="N37" s="71"/>
      <c r="O37" s="71"/>
      <c r="P37" s="72" t="s">
        <v>530</v>
      </c>
      <c r="Q37" s="71"/>
      <c r="R37" s="71"/>
      <c r="S37" s="71"/>
      <c r="T37" s="71"/>
      <c r="U37" s="71"/>
    </row>
    <row r="38" spans="2:21">
      <c r="B38" t="s">
        <v>284</v>
      </c>
      <c r="C38">
        <v>6</v>
      </c>
      <c r="D38">
        <v>7</v>
      </c>
      <c r="E38" t="s">
        <v>538</v>
      </c>
      <c r="F38" s="72" t="s">
        <v>530</v>
      </c>
      <c r="G38" s="70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</row>
    <row r="39" spans="2:21">
      <c r="C39">
        <v>6</v>
      </c>
      <c r="D39">
        <v>7</v>
      </c>
      <c r="E39" t="s">
        <v>539</v>
      </c>
      <c r="F39" s="72" t="s">
        <v>530</v>
      </c>
      <c r="G39" s="70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</row>
    <row r="40" spans="2:21">
      <c r="C40">
        <v>6</v>
      </c>
      <c r="D40">
        <v>7</v>
      </c>
      <c r="E40" t="s">
        <v>540</v>
      </c>
      <c r="F40" s="72" t="s">
        <v>530</v>
      </c>
      <c r="G40" s="70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</row>
    <row r="41" spans="2:21">
      <c r="C41">
        <v>6</v>
      </c>
      <c r="D41">
        <v>7</v>
      </c>
      <c r="E41" t="s">
        <v>541</v>
      </c>
      <c r="F41" s="72" t="s">
        <v>530</v>
      </c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</row>
    <row r="42" spans="2:21">
      <c r="C42">
        <v>6</v>
      </c>
      <c r="D42">
        <v>7</v>
      </c>
      <c r="E42" t="s">
        <v>542</v>
      </c>
      <c r="F42" s="72" t="s">
        <v>530</v>
      </c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</row>
    <row r="43" spans="2:21">
      <c r="C43">
        <v>6</v>
      </c>
      <c r="D43">
        <v>11</v>
      </c>
      <c r="E43" t="s">
        <v>512</v>
      </c>
      <c r="F43" s="71"/>
      <c r="G43" s="72" t="s">
        <v>530</v>
      </c>
      <c r="H43" s="71"/>
      <c r="I43" s="72" t="s">
        <v>530</v>
      </c>
      <c r="J43" s="71"/>
      <c r="K43" s="71"/>
      <c r="L43" s="71"/>
      <c r="M43" s="72" t="s">
        <v>530</v>
      </c>
      <c r="N43" s="71"/>
      <c r="O43" s="71"/>
      <c r="P43" s="72" t="s">
        <v>530</v>
      </c>
      <c r="Q43" s="71"/>
      <c r="R43" s="71"/>
      <c r="S43" s="71"/>
      <c r="T43" s="71"/>
      <c r="U43" s="71"/>
    </row>
    <row r="44" spans="2:21">
      <c r="C44">
        <v>6</v>
      </c>
      <c r="D44">
        <v>11</v>
      </c>
      <c r="E44" t="s">
        <v>513</v>
      </c>
      <c r="F44" s="71"/>
      <c r="G44" s="72" t="s">
        <v>530</v>
      </c>
      <c r="H44" s="71"/>
      <c r="I44" s="72" t="s">
        <v>530</v>
      </c>
      <c r="J44" s="71"/>
      <c r="K44" s="71"/>
      <c r="L44" s="71"/>
      <c r="M44" s="72" t="s">
        <v>530</v>
      </c>
      <c r="N44" s="71"/>
      <c r="O44" s="71"/>
      <c r="P44" s="72" t="s">
        <v>530</v>
      </c>
      <c r="Q44" s="71"/>
      <c r="R44" s="71"/>
      <c r="S44" s="71"/>
      <c r="T44" s="71"/>
      <c r="U44" s="71"/>
    </row>
    <row r="45" spans="2:21">
      <c r="C45">
        <v>6</v>
      </c>
      <c r="D45">
        <v>11</v>
      </c>
      <c r="E45" t="s">
        <v>514</v>
      </c>
      <c r="F45" s="71"/>
      <c r="G45" s="72" t="s">
        <v>530</v>
      </c>
      <c r="H45" s="71"/>
      <c r="I45" s="72" t="s">
        <v>530</v>
      </c>
      <c r="J45" s="71"/>
      <c r="K45" s="71"/>
      <c r="L45" s="71"/>
      <c r="M45" s="72" t="s">
        <v>530</v>
      </c>
      <c r="N45" s="71"/>
      <c r="O45" s="71"/>
      <c r="P45" s="72" t="s">
        <v>530</v>
      </c>
      <c r="Q45" s="71"/>
      <c r="R45" s="71"/>
      <c r="S45" s="71"/>
      <c r="T45" s="71"/>
      <c r="U45" s="7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"/>
  <sheetViews>
    <sheetView tabSelected="1" zoomScale="106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S2" sqref="S2"/>
    </sheetView>
  </sheetViews>
  <sheetFormatPr baseColWidth="10" defaultRowHeight="16"/>
  <cols>
    <col min="1" max="1" width="32.83203125" bestFit="1" customWidth="1"/>
    <col min="2" max="2" width="9.83203125" bestFit="1" customWidth="1"/>
    <col min="3" max="3" width="57.1640625" customWidth="1"/>
    <col min="4" max="4" width="38.83203125" customWidth="1"/>
    <col min="5" max="5" width="6.83203125" bestFit="1" customWidth="1"/>
    <col min="6" max="6" width="28.5" bestFit="1" customWidth="1"/>
    <col min="7" max="7" width="6.83203125" customWidth="1"/>
    <col min="8" max="8" width="27" customWidth="1"/>
    <col min="9" max="9" width="6.6640625" customWidth="1"/>
    <col min="12" max="12" width="1.5" customWidth="1"/>
    <col min="13" max="15" width="16.83203125" customWidth="1"/>
    <col min="16" max="16" width="19.33203125" bestFit="1" customWidth="1"/>
    <col min="17" max="23" width="16.83203125" customWidth="1"/>
  </cols>
  <sheetData>
    <row r="1" spans="1:23">
      <c r="A1" t="s">
        <v>0</v>
      </c>
      <c r="D1" t="s">
        <v>209</v>
      </c>
      <c r="E1" t="s">
        <v>19</v>
      </c>
      <c r="F1" t="s">
        <v>11</v>
      </c>
      <c r="G1" t="s">
        <v>19</v>
      </c>
      <c r="H1" t="s">
        <v>162</v>
      </c>
      <c r="I1" t="s">
        <v>19</v>
      </c>
      <c r="J1" s="10" t="s">
        <v>210</v>
      </c>
      <c r="K1" t="s">
        <v>19</v>
      </c>
      <c r="M1" t="s">
        <v>215</v>
      </c>
      <c r="N1" t="s">
        <v>216</v>
      </c>
      <c r="O1" t="s">
        <v>217</v>
      </c>
      <c r="P1" s="10" t="s">
        <v>525</v>
      </c>
      <c r="Q1" s="10" t="s">
        <v>526</v>
      </c>
      <c r="R1" s="10" t="s">
        <v>527</v>
      </c>
      <c r="S1" s="10" t="s">
        <v>528</v>
      </c>
      <c r="T1" s="10" t="s">
        <v>529</v>
      </c>
      <c r="U1" s="10" t="s">
        <v>218</v>
      </c>
      <c r="V1" s="10" t="s">
        <v>219</v>
      </c>
      <c r="W1" s="10" t="s">
        <v>220</v>
      </c>
    </row>
    <row r="2" spans="1:23">
      <c r="A2" t="s">
        <v>1</v>
      </c>
      <c r="C2" t="s">
        <v>12</v>
      </c>
      <c r="D2">
        <f>1/(6*$B$24/$B$26)</f>
        <v>0.3920250951735908</v>
      </c>
      <c r="E2" s="1" t="s">
        <v>188</v>
      </c>
      <c r="F2" s="14">
        <f>2/$B$24</f>
        <v>1.2427454732996135</v>
      </c>
      <c r="G2" s="1" t="s">
        <v>20</v>
      </c>
      <c r="H2" s="14">
        <f>2/$B$24</f>
        <v>1.2427454732996135</v>
      </c>
      <c r="I2" s="1" t="s">
        <v>20</v>
      </c>
      <c r="J2" s="14">
        <f>2/$B$24</f>
        <v>1.2427454732996135</v>
      </c>
      <c r="K2" s="1" t="s">
        <v>20</v>
      </c>
      <c r="L2" s="1"/>
      <c r="M2">
        <f>1/(7*$B$24/$B$26)</f>
        <v>0.33602151014879211</v>
      </c>
      <c r="N2">
        <f>1/(5.5*$B$24/$B$26)</f>
        <v>0.42766374018937192</v>
      </c>
      <c r="O2">
        <f>1/(3*$B$24/$B$26)</f>
        <v>0.7840501903471816</v>
      </c>
      <c r="P2">
        <f>1/(7*$B$24/$B$26)</f>
        <v>0.33602151014879211</v>
      </c>
      <c r="Q2">
        <f>AVERAGE(P2,R2)</f>
        <v>0.38184262516908202</v>
      </c>
      <c r="R2">
        <f>1/(5.5*$B$24/$B$26)</f>
        <v>0.42766374018937192</v>
      </c>
      <c r="S2">
        <f>AVERAGE(R2,T2)</f>
        <v>0.60585696526827681</v>
      </c>
      <c r="T2">
        <f>1/(3*$B$24/$B$26)</f>
        <v>0.7840501903471816</v>
      </c>
      <c r="U2">
        <f>1.6*$B$24</f>
        <v>2.5749440000000003</v>
      </c>
      <c r="V2">
        <f>2*$B$24</f>
        <v>3.21868</v>
      </c>
      <c r="W2">
        <f>2.2*$B$24</f>
        <v>3.5405480000000003</v>
      </c>
    </row>
    <row r="3" spans="1:23">
      <c r="A3" t="s">
        <v>2</v>
      </c>
      <c r="C3" t="s">
        <v>160</v>
      </c>
      <c r="D3">
        <f>$B$31*$B$24</f>
        <v>88.5137</v>
      </c>
      <c r="F3">
        <f>$B$31*$B$24</f>
        <v>88.5137</v>
      </c>
      <c r="G3" s="1"/>
      <c r="H3">
        <f>$B$31*$B$24</f>
        <v>88.5137</v>
      </c>
      <c r="I3" s="1"/>
      <c r="J3">
        <f>$B$31*$B$24</f>
        <v>88.5137</v>
      </c>
      <c r="M3">
        <f>$B$31*$B$24</f>
        <v>88.5137</v>
      </c>
      <c r="N3">
        <f t="shared" ref="N3:W3" si="0">$B$31*$B$24</f>
        <v>88.5137</v>
      </c>
      <c r="O3">
        <f t="shared" si="0"/>
        <v>88.5137</v>
      </c>
      <c r="P3">
        <f>$B$31*$B$24</f>
        <v>88.5137</v>
      </c>
      <c r="Q3">
        <f t="shared" ref="Q3:S3" si="1">$B$31*$B$24</f>
        <v>88.5137</v>
      </c>
      <c r="R3">
        <f t="shared" si="1"/>
        <v>88.5137</v>
      </c>
      <c r="S3">
        <f t="shared" si="1"/>
        <v>88.5137</v>
      </c>
      <c r="T3">
        <f t="shared" si="0"/>
        <v>88.5137</v>
      </c>
      <c r="U3">
        <f t="shared" si="0"/>
        <v>88.5137</v>
      </c>
      <c r="V3">
        <f t="shared" si="0"/>
        <v>88.5137</v>
      </c>
      <c r="W3">
        <f t="shared" si="0"/>
        <v>88.5137</v>
      </c>
    </row>
    <row r="4" spans="1:23">
      <c r="A4" t="s">
        <v>3</v>
      </c>
      <c r="C4" t="s">
        <v>27</v>
      </c>
      <c r="D4" s="2">
        <f>-PMT($B$28/$B$29,$B$27*$B$29,D14)</f>
        <v>43.873823791337621</v>
      </c>
      <c r="F4" s="2">
        <f>-PMT($B$28/$B$29,$B$27*$B$29,F14)</f>
        <v>60.748371403390557</v>
      </c>
      <c r="G4" s="1" t="s">
        <v>20</v>
      </c>
      <c r="H4" s="2">
        <f>-PMT($B$28/$B$29,$B$27*$B$29,H14)</f>
        <v>50.623642836158808</v>
      </c>
      <c r="I4" s="1" t="s">
        <v>20</v>
      </c>
      <c r="J4" s="2">
        <f>-PMT($B$28/$B$29,$B$27*$B$29,J14)</f>
        <v>101.24728567231762</v>
      </c>
      <c r="M4" s="2">
        <f t="shared" ref="M4:O4" si="2">-PMT($B$28/$B$29,$B$27*$B$29,M14)</f>
        <v>33.749095224105865</v>
      </c>
      <c r="N4" s="2">
        <f t="shared" si="2"/>
        <v>43.873823791337621</v>
      </c>
      <c r="O4" s="2">
        <f t="shared" si="2"/>
        <v>67.49819044821173</v>
      </c>
      <c r="P4" s="2">
        <f t="shared" ref="P4" si="3">-PMT($B$28/$B$29,$B$27*$B$29,P14)</f>
        <v>33.749095224105865</v>
      </c>
      <c r="Q4" s="65">
        <f t="shared" ref="Q4:Q14" si="4">AVERAGE(P4,R4)</f>
        <v>38.811459507721743</v>
      </c>
      <c r="R4" s="2">
        <f t="shared" ref="R4" si="5">-PMT($B$28/$B$29,$B$27*$B$29,R14)</f>
        <v>43.873823791337621</v>
      </c>
      <c r="S4" s="65">
        <f t="shared" ref="S4:S14" si="6">AVERAGE(R4,T4)</f>
        <v>55.686007119774672</v>
      </c>
      <c r="T4" s="2">
        <f t="shared" ref="T4" si="7">-PMT($B$28/$B$29,$B$27*$B$29,T14)</f>
        <v>67.49819044821173</v>
      </c>
      <c r="U4" s="2">
        <f>-PMT($B$28/$B$29,$B$27*$B$29,U14)</f>
        <v>47.248733313748211</v>
      </c>
      <c r="V4" s="2">
        <f>-PMT($B$28/$B$29,$B$27*$B$29,V14)</f>
        <v>60.748371403390557</v>
      </c>
      <c r="W4" s="2">
        <f>-PMT($B$28/$B$29,$B$27*$B$29,W14)</f>
        <v>101.24728567231762</v>
      </c>
    </row>
    <row r="5" spans="1:23">
      <c r="A5" t="s">
        <v>4</v>
      </c>
      <c r="C5" t="s">
        <v>161</v>
      </c>
      <c r="D5" s="18">
        <f>23.42</f>
        <v>23.42</v>
      </c>
      <c r="E5" s="1" t="s">
        <v>186</v>
      </c>
      <c r="F5" s="18">
        <f>23.42</f>
        <v>23.42</v>
      </c>
      <c r="G5" s="1" t="s">
        <v>186</v>
      </c>
      <c r="H5" s="18">
        <f>23.42</f>
        <v>23.42</v>
      </c>
      <c r="I5" s="1" t="s">
        <v>186</v>
      </c>
      <c r="J5" s="18">
        <f>23.42</f>
        <v>23.42</v>
      </c>
      <c r="K5" s="1" t="s">
        <v>186</v>
      </c>
      <c r="L5" s="1"/>
      <c r="M5" s="18">
        <f t="shared" ref="M5:W5" si="8">23.42</f>
        <v>23.42</v>
      </c>
      <c r="N5" s="18">
        <f t="shared" si="8"/>
        <v>23.42</v>
      </c>
      <c r="O5" s="18">
        <f t="shared" si="8"/>
        <v>23.42</v>
      </c>
      <c r="P5" s="18">
        <f t="shared" si="8"/>
        <v>23.42</v>
      </c>
      <c r="Q5" s="18">
        <f t="shared" si="8"/>
        <v>23.42</v>
      </c>
      <c r="R5" s="18">
        <f t="shared" si="8"/>
        <v>23.42</v>
      </c>
      <c r="S5" s="18">
        <f t="shared" si="8"/>
        <v>23.42</v>
      </c>
      <c r="T5" s="18">
        <f t="shared" si="8"/>
        <v>23.42</v>
      </c>
      <c r="U5" s="18">
        <f t="shared" si="8"/>
        <v>23.42</v>
      </c>
      <c r="V5" s="18">
        <f t="shared" si="8"/>
        <v>23.42</v>
      </c>
      <c r="W5" s="18">
        <f t="shared" si="8"/>
        <v>23.42</v>
      </c>
    </row>
    <row r="6" spans="1:23">
      <c r="A6" t="s">
        <v>5</v>
      </c>
      <c r="C6" t="s">
        <v>13</v>
      </c>
      <c r="D6" s="20">
        <f>0.152/$B$24</f>
        <v>9.4448655970770623E-2</v>
      </c>
      <c r="E6" s="1" t="s">
        <v>196</v>
      </c>
      <c r="F6" s="20">
        <f>0.098/$B$24</f>
        <v>6.0894528191681063E-2</v>
      </c>
      <c r="G6" s="1" t="s">
        <v>196</v>
      </c>
      <c r="H6" s="20">
        <f>0.098/$B$24</f>
        <v>6.0894528191681063E-2</v>
      </c>
      <c r="I6" s="1" t="s">
        <v>196</v>
      </c>
      <c r="J6" s="20">
        <f>0.098/$B$24</f>
        <v>6.0894528191681063E-2</v>
      </c>
      <c r="K6" s="1" t="s">
        <v>196</v>
      </c>
      <c r="L6" s="1"/>
      <c r="M6" s="20">
        <f>0.075/$B$24</f>
        <v>4.6602955248735506E-2</v>
      </c>
      <c r="N6" s="20">
        <f>0.152/$B$24</f>
        <v>9.4448655970770623E-2</v>
      </c>
      <c r="O6" s="20">
        <f>0.301/$B$24</f>
        <v>0.18703319373159183</v>
      </c>
      <c r="P6" s="20">
        <f>0.075/$B$24</f>
        <v>4.6602955248735506E-2</v>
      </c>
      <c r="Q6" s="67">
        <f t="shared" si="4"/>
        <v>7.0525805609753064E-2</v>
      </c>
      <c r="R6" s="20">
        <f>0.152/$B$24</f>
        <v>9.4448655970770623E-2</v>
      </c>
      <c r="S6" s="67">
        <f t="shared" si="6"/>
        <v>0.14074092485118123</v>
      </c>
      <c r="T6" s="20">
        <f>0.301/$B$24</f>
        <v>0.18703319373159183</v>
      </c>
      <c r="U6" s="20">
        <f>0.06/$B$24</f>
        <v>3.7282364198988401E-2</v>
      </c>
      <c r="V6" s="20">
        <f>0.098/$B$24</f>
        <v>6.0894528191681063E-2</v>
      </c>
      <c r="W6" s="20">
        <f>0.143/$B$24</f>
        <v>8.8856301340922358E-2</v>
      </c>
    </row>
    <row r="7" spans="1:23">
      <c r="A7" t="s">
        <v>6</v>
      </c>
      <c r="C7" t="s">
        <v>14</v>
      </c>
      <c r="D7" s="22">
        <v>0</v>
      </c>
      <c r="F7" s="4">
        <f>F16*$B$30/F10</f>
        <v>1.7992918651299802E-2</v>
      </c>
      <c r="G7" s="1" t="s">
        <v>26</v>
      </c>
      <c r="H7" s="4">
        <f>H16*$B$30/H10</f>
        <v>1.7992918651299809E-2</v>
      </c>
      <c r="I7" s="1" t="s">
        <v>26</v>
      </c>
      <c r="J7" s="4">
        <f>J16*$B$30/J10</f>
        <v>1.7992918651299806E-2</v>
      </c>
      <c r="K7" s="1" t="s">
        <v>26</v>
      </c>
      <c r="L7" s="1"/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64">
        <f>U16*$B$30/U10</f>
        <v>1.4646508402137607E-2</v>
      </c>
      <c r="V7" s="64">
        <f>V16*$B$30/V10</f>
        <v>1.7992918651299806E-2</v>
      </c>
      <c r="W7" s="64">
        <f>W16*$B$30/W10</f>
        <v>2.7261997956514853E-2</v>
      </c>
    </row>
    <row r="8" spans="1:23">
      <c r="A8" t="s">
        <v>7</v>
      </c>
      <c r="C8" t="s">
        <v>15</v>
      </c>
      <c r="D8" s="17">
        <f>D17-D18-D19</f>
        <v>27643.8403</v>
      </c>
      <c r="F8" s="17">
        <f>F17-F18-F19</f>
        <v>25079.317662551442</v>
      </c>
      <c r="G8" s="1" t="s">
        <v>24</v>
      </c>
      <c r="H8" s="17">
        <f>H17-H18-H19</f>
        <v>26725.408197530865</v>
      </c>
      <c r="I8" s="1" t="s">
        <v>24</v>
      </c>
      <c r="J8" s="17">
        <f>J17-J18-J19</f>
        <v>26877.671572016461</v>
      </c>
      <c r="M8" s="17">
        <f t="shared" ref="M8:O8" si="9">M17-M18-M19</f>
        <v>27643.8403</v>
      </c>
      <c r="N8" s="17">
        <f t="shared" si="9"/>
        <v>27643.8403</v>
      </c>
      <c r="O8" s="17">
        <f t="shared" si="9"/>
        <v>27643.8403</v>
      </c>
      <c r="P8" s="17">
        <f>P17-P18-P19</f>
        <v>27643.8403</v>
      </c>
      <c r="Q8" s="17">
        <f t="shared" ref="Q8:S8" si="10">Q17-Q18-Q19</f>
        <v>27643.8403</v>
      </c>
      <c r="R8" s="17">
        <f t="shared" si="10"/>
        <v>27643.8403</v>
      </c>
      <c r="S8" s="17">
        <f t="shared" si="10"/>
        <v>27643.8403</v>
      </c>
      <c r="T8" s="17">
        <f t="shared" ref="T8" si="11">T17-T18-T19</f>
        <v>27643.8403</v>
      </c>
      <c r="U8" s="17">
        <f>U17-U18-U19</f>
        <v>25079.317662551442</v>
      </c>
      <c r="V8" s="17">
        <f>V17-V18-V19</f>
        <v>25079.317662551442</v>
      </c>
      <c r="W8" s="17">
        <f>W17-W18-W19</f>
        <v>25079.317662551442</v>
      </c>
    </row>
    <row r="9" spans="1:23">
      <c r="A9" t="s">
        <v>8</v>
      </c>
      <c r="C9" t="s">
        <v>16</v>
      </c>
      <c r="D9">
        <v>0</v>
      </c>
      <c r="F9">
        <v>0</v>
      </c>
      <c r="H9">
        <v>0</v>
      </c>
      <c r="J9">
        <v>0</v>
      </c>
      <c r="M9">
        <v>0</v>
      </c>
      <c r="N9">
        <v>0</v>
      </c>
      <c r="O9">
        <v>0</v>
      </c>
      <c r="P9">
        <v>0</v>
      </c>
      <c r="Q9">
        <f t="shared" si="4"/>
        <v>0</v>
      </c>
      <c r="R9">
        <v>0</v>
      </c>
      <c r="S9">
        <f t="shared" si="6"/>
        <v>0</v>
      </c>
      <c r="T9">
        <v>0</v>
      </c>
      <c r="U9">
        <v>0</v>
      </c>
      <c r="V9">
        <v>0</v>
      </c>
      <c r="W9">
        <v>0</v>
      </c>
    </row>
    <row r="10" spans="1:23">
      <c r="A10" t="s">
        <v>9</v>
      </c>
      <c r="C10" t="s">
        <v>17</v>
      </c>
      <c r="D10">
        <f>200*$B$26</f>
        <v>757.08199999999999</v>
      </c>
      <c r="F10">
        <f>500*$F$2*$B$24</f>
        <v>999.99999999999989</v>
      </c>
      <c r="G10" s="1" t="s">
        <v>20</v>
      </c>
      <c r="H10">
        <f>300*$F$2*$B$24</f>
        <v>600</v>
      </c>
      <c r="I10" s="1" t="s">
        <v>20</v>
      </c>
      <c r="J10">
        <v>563</v>
      </c>
      <c r="M10">
        <f>200*$B$26</f>
        <v>757.08199999999999</v>
      </c>
      <c r="N10">
        <f>200*$B$26</f>
        <v>757.08199999999999</v>
      </c>
      <c r="O10">
        <f>200*$B$26</f>
        <v>757.08199999999999</v>
      </c>
      <c r="P10">
        <f>200*$B$26</f>
        <v>757.08199999999999</v>
      </c>
      <c r="Q10">
        <f t="shared" ref="Q10:S10" si="12">200*$B$26</f>
        <v>757.08199999999999</v>
      </c>
      <c r="R10">
        <f>200*$B$26</f>
        <v>757.08199999999999</v>
      </c>
      <c r="S10">
        <f t="shared" si="12"/>
        <v>757.08199999999999</v>
      </c>
      <c r="T10">
        <f>200*$B$26</f>
        <v>757.08199999999999</v>
      </c>
      <c r="U10">
        <v>1000</v>
      </c>
      <c r="V10">
        <v>1000</v>
      </c>
      <c r="W10" s="19">
        <v>1000</v>
      </c>
    </row>
    <row r="11" spans="1:23">
      <c r="A11" t="s">
        <v>10</v>
      </c>
      <c r="C11" t="s">
        <v>18</v>
      </c>
      <c r="D11">
        <f>D10</f>
        <v>757.08199999999999</v>
      </c>
      <c r="F11">
        <f>F10*0.7*2</f>
        <v>1399.9999999999998</v>
      </c>
      <c r="G11" s="1" t="s">
        <v>22</v>
      </c>
      <c r="H11">
        <f>H10*0.7*2</f>
        <v>840</v>
      </c>
      <c r="I11" s="1" t="s">
        <v>22</v>
      </c>
      <c r="J11">
        <v>240</v>
      </c>
      <c r="K11" s="1" t="s">
        <v>211</v>
      </c>
      <c r="L11" s="1"/>
      <c r="M11">
        <f>M10/$B$22</f>
        <v>3028.328</v>
      </c>
      <c r="N11">
        <f t="shared" ref="N11:O11" si="13">N10/$B$22</f>
        <v>3028.328</v>
      </c>
      <c r="O11">
        <f t="shared" si="13"/>
        <v>3028.328</v>
      </c>
      <c r="P11">
        <f>P10/$B$22</f>
        <v>3028.328</v>
      </c>
      <c r="Q11">
        <f t="shared" ref="Q11:S11" si="14">Q10/$B$22</f>
        <v>3028.328</v>
      </c>
      <c r="R11">
        <f>R10/$B$22</f>
        <v>3028.328</v>
      </c>
      <c r="S11">
        <f t="shared" si="14"/>
        <v>3028.328</v>
      </c>
      <c r="T11">
        <f t="shared" ref="T11" si="15">T10/$B$22</f>
        <v>3028.328</v>
      </c>
      <c r="U11">
        <v>1400</v>
      </c>
      <c r="V11">
        <v>1400</v>
      </c>
      <c r="W11" s="19">
        <v>1400</v>
      </c>
    </row>
    <row r="12" spans="1:23">
      <c r="A12" t="s">
        <v>173</v>
      </c>
      <c r="B12">
        <f>0.9*0.95</f>
        <v>0.85499999999999998</v>
      </c>
      <c r="C12" t="s">
        <v>174</v>
      </c>
      <c r="D12">
        <v>1</v>
      </c>
      <c r="F12" s="15">
        <f>SQRT($B$12)</f>
        <v>0.92466210044534647</v>
      </c>
      <c r="G12" s="1" t="s">
        <v>164</v>
      </c>
      <c r="H12" s="15">
        <f>SQRT($B$12)</f>
        <v>0.92466210044534647</v>
      </c>
      <c r="I12" s="1" t="s">
        <v>164</v>
      </c>
      <c r="J12" s="15">
        <f>SQRT($B$12)</f>
        <v>0.92466210044534647</v>
      </c>
      <c r="M12">
        <v>1</v>
      </c>
      <c r="N12">
        <v>1</v>
      </c>
      <c r="O12">
        <v>1</v>
      </c>
      <c r="P12">
        <v>1</v>
      </c>
      <c r="Q12">
        <f t="shared" si="4"/>
        <v>1</v>
      </c>
      <c r="R12">
        <v>1</v>
      </c>
      <c r="S12">
        <f t="shared" si="6"/>
        <v>1</v>
      </c>
      <c r="T12">
        <v>1</v>
      </c>
      <c r="U12" s="15">
        <f>SQRT($B$12)</f>
        <v>0.92466210044534647</v>
      </c>
      <c r="V12" s="15">
        <f>SQRT($B$12)</f>
        <v>0.92466210044534647</v>
      </c>
      <c r="W12" s="15">
        <f>SQRT($B$12)</f>
        <v>0.92466210044534647</v>
      </c>
    </row>
    <row r="13" spans="1:23">
      <c r="G13" s="1"/>
      <c r="I13" s="1"/>
    </row>
    <row r="14" spans="1:23">
      <c r="A14" t="s">
        <v>183</v>
      </c>
      <c r="C14" t="s">
        <v>184</v>
      </c>
      <c r="D14">
        <v>130000</v>
      </c>
      <c r="E14" s="1" t="s">
        <v>196</v>
      </c>
      <c r="F14">
        <v>180000</v>
      </c>
      <c r="G14" s="1" t="s">
        <v>20</v>
      </c>
      <c r="H14">
        <v>150000</v>
      </c>
      <c r="I14" s="1" t="s">
        <v>20</v>
      </c>
      <c r="J14">
        <v>300000</v>
      </c>
      <c r="K14" s="1" t="s">
        <v>212</v>
      </c>
      <c r="L14" s="1"/>
      <c r="M14">
        <v>100000</v>
      </c>
      <c r="N14">
        <v>130000</v>
      </c>
      <c r="O14">
        <v>200000</v>
      </c>
      <c r="P14">
        <v>100000</v>
      </c>
      <c r="Q14">
        <f t="shared" si="4"/>
        <v>115000</v>
      </c>
      <c r="R14">
        <v>130000</v>
      </c>
      <c r="S14">
        <f t="shared" si="6"/>
        <v>165000</v>
      </c>
      <c r="T14">
        <v>200000</v>
      </c>
      <c r="U14">
        <v>140000</v>
      </c>
      <c r="V14">
        <v>180000</v>
      </c>
      <c r="W14">
        <v>300000</v>
      </c>
    </row>
    <row r="15" spans="1:23">
      <c r="A15" t="s">
        <v>199</v>
      </c>
      <c r="C15" t="s">
        <v>184</v>
      </c>
      <c r="D15" t="s">
        <v>206</v>
      </c>
      <c r="F15">
        <f>F10*$B$44</f>
        <v>131999.99999999997</v>
      </c>
      <c r="G15" s="1" t="s">
        <v>201</v>
      </c>
      <c r="H15">
        <f>H10*$B$44</f>
        <v>79200</v>
      </c>
      <c r="I15" s="1" t="s">
        <v>201</v>
      </c>
      <c r="J15">
        <f>J10*$B$44</f>
        <v>74316</v>
      </c>
      <c r="M15" t="s">
        <v>206</v>
      </c>
      <c r="N15" t="s">
        <v>206</v>
      </c>
      <c r="O15" t="s">
        <v>206</v>
      </c>
      <c r="P15" t="s">
        <v>206</v>
      </c>
      <c r="R15" t="s">
        <v>206</v>
      </c>
      <c r="T15" t="s">
        <v>206</v>
      </c>
      <c r="U15">
        <f>U10*P44</f>
        <v>107450</v>
      </c>
      <c r="V15">
        <f>V10*Q44</f>
        <v>132000</v>
      </c>
      <c r="W15">
        <f>W10*R44</f>
        <v>200000</v>
      </c>
    </row>
    <row r="16" spans="1:23">
      <c r="A16" t="s">
        <v>202</v>
      </c>
      <c r="C16" t="s">
        <v>203</v>
      </c>
      <c r="D16" t="s">
        <v>206</v>
      </c>
      <c r="F16" s="2">
        <f>-PMT($B$28/$B$29,$B$27*$B$29,F15)</f>
        <v>44.54880569581973</v>
      </c>
      <c r="G16" s="1"/>
      <c r="H16" s="2">
        <f>-PMT($B$28/$B$29,$B$27*$B$29,H15)</f>
        <v>26.72928341749185</v>
      </c>
      <c r="I16" s="1"/>
      <c r="J16" s="2">
        <f>-PMT($B$28/$B$29,$B$27*$B$29,J15)</f>
        <v>25.080977606746515</v>
      </c>
      <c r="M16" t="s">
        <v>206</v>
      </c>
      <c r="N16" t="s">
        <v>206</v>
      </c>
      <c r="O16" t="s">
        <v>206</v>
      </c>
      <c r="P16" t="s">
        <v>206</v>
      </c>
      <c r="R16" t="s">
        <v>206</v>
      </c>
      <c r="T16" t="s">
        <v>206</v>
      </c>
      <c r="U16" s="2">
        <f>-PMT($B$28/$B$29,$B$27*$B$29,U15)</f>
        <v>36.263402818301756</v>
      </c>
      <c r="V16" s="2">
        <f>-PMT($B$28/$B$29,$B$27*$B$29,V15)</f>
        <v>44.548805695819745</v>
      </c>
      <c r="W16" s="2">
        <f>-PMT($B$28/$B$29,$B$27*$B$29,W15)</f>
        <v>67.49819044821173</v>
      </c>
    </row>
    <row r="17" spans="1:23">
      <c r="A17" t="s">
        <v>182</v>
      </c>
      <c r="C17" t="s">
        <v>180</v>
      </c>
      <c r="D17" s="17">
        <f>80000*$B$25</f>
        <v>36287.360000000001</v>
      </c>
      <c r="F17" s="17">
        <f>82000*$B$25</f>
        <v>37194.544000000002</v>
      </c>
      <c r="G17" s="1" t="s">
        <v>20</v>
      </c>
      <c r="H17" s="17">
        <f>82000*$B$25</f>
        <v>37194.544000000002</v>
      </c>
      <c r="I17" s="1" t="s">
        <v>20</v>
      </c>
      <c r="J17" s="17">
        <f>82000*$B$25</f>
        <v>37194.544000000002</v>
      </c>
      <c r="K17" s="1" t="s">
        <v>20</v>
      </c>
      <c r="L17" s="1"/>
      <c r="M17" s="17">
        <f>80000*$B$25</f>
        <v>36287.360000000001</v>
      </c>
      <c r="N17" s="17">
        <f>80000*$B$25</f>
        <v>36287.360000000001</v>
      </c>
      <c r="O17" s="17">
        <f>80000*$B$25</f>
        <v>36287.360000000001</v>
      </c>
      <c r="P17" s="17">
        <f>80000*$B$25</f>
        <v>36287.360000000001</v>
      </c>
      <c r="Q17" s="17">
        <f t="shared" ref="Q17:S17" si="16">80000*$B$25</f>
        <v>36287.360000000001</v>
      </c>
      <c r="R17" s="17">
        <f t="shared" si="16"/>
        <v>36287.360000000001</v>
      </c>
      <c r="S17" s="17">
        <f t="shared" si="16"/>
        <v>36287.360000000001</v>
      </c>
      <c r="T17" s="17">
        <f>80000*$B$25</f>
        <v>36287.360000000001</v>
      </c>
      <c r="U17" s="17">
        <f>82000*$B$25</f>
        <v>37194.544000000002</v>
      </c>
      <c r="V17" s="17">
        <f>82000*$B$25</f>
        <v>37194.544000000002</v>
      </c>
      <c r="W17" s="17">
        <f>82000*$B$25</f>
        <v>37194.544000000002</v>
      </c>
    </row>
    <row r="18" spans="1:23">
      <c r="A18" t="s">
        <v>176</v>
      </c>
      <c r="C18" t="s">
        <v>180</v>
      </c>
      <c r="D18">
        <f>$B$42</f>
        <v>8000</v>
      </c>
      <c r="E18" s="1" t="s">
        <v>205</v>
      </c>
      <c r="F18">
        <f>$B$42</f>
        <v>8000</v>
      </c>
      <c r="G18" s="1" t="s">
        <v>164</v>
      </c>
      <c r="H18">
        <f>$B$42</f>
        <v>8000</v>
      </c>
      <c r="I18" s="1" t="s">
        <v>164</v>
      </c>
      <c r="J18">
        <f>$B$42</f>
        <v>8000</v>
      </c>
      <c r="K18" s="1" t="s">
        <v>164</v>
      </c>
      <c r="L18" s="1"/>
      <c r="M18">
        <f t="shared" ref="M18:W18" si="17">$B$42</f>
        <v>8000</v>
      </c>
      <c r="N18">
        <f t="shared" si="17"/>
        <v>8000</v>
      </c>
      <c r="O18">
        <f t="shared" si="17"/>
        <v>8000</v>
      </c>
      <c r="P18">
        <f t="shared" si="17"/>
        <v>8000</v>
      </c>
      <c r="Q18">
        <f t="shared" si="17"/>
        <v>8000</v>
      </c>
      <c r="R18">
        <f t="shared" si="17"/>
        <v>8000</v>
      </c>
      <c r="S18">
        <f t="shared" si="17"/>
        <v>8000</v>
      </c>
      <c r="T18">
        <f t="shared" si="17"/>
        <v>8000</v>
      </c>
      <c r="U18">
        <f t="shared" si="17"/>
        <v>8000</v>
      </c>
      <c r="V18">
        <f t="shared" si="17"/>
        <v>8000</v>
      </c>
      <c r="W18">
        <f t="shared" si="17"/>
        <v>8000</v>
      </c>
    </row>
    <row r="19" spans="1:23">
      <c r="A19" t="s">
        <v>181</v>
      </c>
      <c r="C19" t="s">
        <v>180</v>
      </c>
      <c r="D19">
        <f>D10*$B$33</f>
        <v>643.51969999999994</v>
      </c>
      <c r="F19" s="17">
        <f>F10*1000/$B$41</f>
        <v>4115.2263374485592</v>
      </c>
      <c r="G19" s="1" t="s">
        <v>164</v>
      </c>
      <c r="H19" s="17">
        <f>H10*1000/$B$41</f>
        <v>2469.1358024691358</v>
      </c>
      <c r="I19" s="1" t="s">
        <v>164</v>
      </c>
      <c r="J19" s="17">
        <f>J10*1000/$B$41</f>
        <v>2316.8724279835392</v>
      </c>
      <c r="K19" s="1" t="s">
        <v>164</v>
      </c>
      <c r="L19" s="1"/>
      <c r="M19" s="17">
        <f>M10*$B$33</f>
        <v>643.51969999999994</v>
      </c>
      <c r="N19" s="17">
        <f>N10*$B$33</f>
        <v>643.51969999999994</v>
      </c>
      <c r="O19" s="17">
        <f>O10*$B$33</f>
        <v>643.51969999999994</v>
      </c>
      <c r="P19" s="17">
        <f>P10*$B$33</f>
        <v>643.51969999999994</v>
      </c>
      <c r="Q19" s="17">
        <f t="shared" ref="Q19:S19" si="18">Q10*$B$33</f>
        <v>643.51969999999994</v>
      </c>
      <c r="R19" s="17">
        <f t="shared" si="18"/>
        <v>643.51969999999994</v>
      </c>
      <c r="S19" s="17">
        <f t="shared" si="18"/>
        <v>643.51969999999994</v>
      </c>
      <c r="T19" s="17">
        <f>T10*$B$33</f>
        <v>643.51969999999994</v>
      </c>
      <c r="U19" s="17">
        <f>U10*1000/$B$41</f>
        <v>4115.2263374485601</v>
      </c>
      <c r="V19" s="17">
        <f>V10*1000/$B$41</f>
        <v>4115.2263374485601</v>
      </c>
      <c r="W19" s="17">
        <f>W10*1000/$B$41</f>
        <v>4115.2263374485601</v>
      </c>
    </row>
    <row r="20" spans="1:23">
      <c r="G20" s="1"/>
    </row>
    <row r="22" spans="1:23">
      <c r="A22" t="s">
        <v>158</v>
      </c>
      <c r="B22">
        <v>0.25</v>
      </c>
    </row>
    <row r="23" spans="1:23">
      <c r="A23" t="s">
        <v>159</v>
      </c>
      <c r="B23">
        <v>1</v>
      </c>
    </row>
    <row r="24" spans="1:23">
      <c r="A24" t="s">
        <v>21</v>
      </c>
      <c r="B24">
        <v>1.60934</v>
      </c>
    </row>
    <row r="25" spans="1:23">
      <c r="A25" t="s">
        <v>23</v>
      </c>
      <c r="B25">
        <v>0.453592</v>
      </c>
    </row>
    <row r="26" spans="1:23">
      <c r="A26" t="s">
        <v>195</v>
      </c>
      <c r="B26">
        <v>3.7854100000000002</v>
      </c>
    </row>
    <row r="27" spans="1:23">
      <c r="A27" t="s">
        <v>194</v>
      </c>
      <c r="B27">
        <v>12</v>
      </c>
    </row>
    <row r="28" spans="1:23">
      <c r="A28" t="s">
        <v>193</v>
      </c>
      <c r="B28" s="3">
        <v>7.0000000000000007E-2</v>
      </c>
      <c r="C28" s="3"/>
      <c r="D28" s="3"/>
      <c r="E28" s="3"/>
      <c r="P28" s="3"/>
      <c r="Q28" s="3"/>
      <c r="R28" s="3"/>
    </row>
    <row r="29" spans="1:23">
      <c r="A29" t="s">
        <v>192</v>
      </c>
      <c r="B29">
        <v>365</v>
      </c>
    </row>
    <row r="30" spans="1:23">
      <c r="A30" t="s">
        <v>200</v>
      </c>
      <c r="B30" s="3">
        <f>30%/(120000/$B$36)</f>
        <v>0.40389227882237433</v>
      </c>
      <c r="C30" s="21" t="s">
        <v>204</v>
      </c>
      <c r="D30" s="3"/>
      <c r="E30" s="3"/>
    </row>
    <row r="31" spans="1:23">
      <c r="A31" t="s">
        <v>191</v>
      </c>
      <c r="B31">
        <v>55</v>
      </c>
      <c r="C31" s="1" t="s">
        <v>185</v>
      </c>
      <c r="D31" s="1" t="s">
        <v>187</v>
      </c>
      <c r="M31" s="66">
        <v>2.1</v>
      </c>
      <c r="N31" s="66">
        <v>3.25</v>
      </c>
      <c r="O31" s="66">
        <v>6.5979999999999999</v>
      </c>
      <c r="P31" s="66">
        <v>2</v>
      </c>
      <c r="Q31" s="66">
        <v>3</v>
      </c>
      <c r="R31" s="66">
        <v>4</v>
      </c>
      <c r="S31" s="66">
        <v>5</v>
      </c>
      <c r="T31" s="66">
        <v>6</v>
      </c>
      <c r="U31" t="s">
        <v>536</v>
      </c>
    </row>
    <row r="32" spans="1:23">
      <c r="A32" t="s">
        <v>278</v>
      </c>
      <c r="B32" s="16">
        <v>6.5979999999999999</v>
      </c>
      <c r="C32" s="1" t="s">
        <v>221</v>
      </c>
      <c r="D32" s="1"/>
      <c r="M32" s="67">
        <f>M31/$B$26</f>
        <v>0.55476157140177684</v>
      </c>
      <c r="N32" s="67">
        <f>N31/$B$26</f>
        <v>0.85855957478846412</v>
      </c>
      <c r="O32" s="67">
        <f>O31/$B$26</f>
        <v>1.743008022909011</v>
      </c>
      <c r="P32" s="67">
        <f>P31/$B$26</f>
        <v>0.52834435371597788</v>
      </c>
      <c r="Q32" s="67">
        <f t="shared" ref="Q32:T32" si="19">Q31/$B$26</f>
        <v>0.79251653057396687</v>
      </c>
      <c r="R32" s="67">
        <f t="shared" si="19"/>
        <v>1.0566887074319558</v>
      </c>
      <c r="S32" s="67">
        <f t="shared" si="19"/>
        <v>1.3208608842899447</v>
      </c>
      <c r="T32" s="67">
        <f t="shared" si="19"/>
        <v>1.5850330611479337</v>
      </c>
      <c r="U32" t="s">
        <v>537</v>
      </c>
    </row>
    <row r="33" spans="1:20">
      <c r="A33" t="s">
        <v>207</v>
      </c>
      <c r="B33">
        <v>0.85</v>
      </c>
      <c r="C33" s="1" t="s">
        <v>208</v>
      </c>
      <c r="D33" s="1"/>
    </row>
    <row r="35" spans="1:20">
      <c r="A35" t="s">
        <v>163</v>
      </c>
      <c r="C35" s="1" t="s">
        <v>164</v>
      </c>
    </row>
    <row r="36" spans="1:20">
      <c r="A36" t="s">
        <v>165</v>
      </c>
      <c r="B36">
        <f>260000/B24</f>
        <v>161556.91152894974</v>
      </c>
      <c r="C36">
        <v>75000</v>
      </c>
    </row>
    <row r="37" spans="1:20">
      <c r="A37" t="s">
        <v>166</v>
      </c>
      <c r="B37">
        <v>300</v>
      </c>
      <c r="C37" t="s">
        <v>168</v>
      </c>
    </row>
    <row r="38" spans="1:20">
      <c r="A38" t="s">
        <v>167</v>
      </c>
      <c r="B38">
        <v>8</v>
      </c>
      <c r="C38" t="s">
        <v>169</v>
      </c>
    </row>
    <row r="39" spans="1:20">
      <c r="A39" t="s">
        <v>170</v>
      </c>
      <c r="B39">
        <v>14500</v>
      </c>
      <c r="C39" t="s">
        <v>171</v>
      </c>
    </row>
    <row r="40" spans="1:20">
      <c r="A40" t="s">
        <v>172</v>
      </c>
      <c r="B40">
        <f>80000*B25</f>
        <v>36287.360000000001</v>
      </c>
      <c r="C40" t="s">
        <v>179</v>
      </c>
    </row>
    <row r="41" spans="1:20">
      <c r="A41" t="s">
        <v>175</v>
      </c>
      <c r="B41">
        <v>243</v>
      </c>
      <c r="C41" t="s">
        <v>178</v>
      </c>
    </row>
    <row r="42" spans="1:20">
      <c r="A42" t="s">
        <v>176</v>
      </c>
      <c r="B42">
        <v>8000</v>
      </c>
      <c r="C42" t="s">
        <v>177</v>
      </c>
    </row>
    <row r="44" spans="1:20">
      <c r="A44" t="s">
        <v>197</v>
      </c>
      <c r="B44">
        <v>132</v>
      </c>
      <c r="C44" t="s">
        <v>198</v>
      </c>
      <c r="D44" s="1" t="s">
        <v>201</v>
      </c>
      <c r="P44">
        <f>42980/400</f>
        <v>107.45</v>
      </c>
      <c r="Q44">
        <v>132</v>
      </c>
      <c r="R44">
        <v>200</v>
      </c>
    </row>
    <row r="45" spans="1:20">
      <c r="D45" s="1"/>
    </row>
    <row r="46" spans="1:20">
      <c r="A46" t="s">
        <v>560</v>
      </c>
      <c r="D46" s="1"/>
    </row>
    <row r="47" spans="1:20">
      <c r="A47" t="s">
        <v>561</v>
      </c>
      <c r="B47">
        <v>10.19</v>
      </c>
      <c r="D47" s="1"/>
    </row>
    <row r="48" spans="1:20">
      <c r="A48" t="s">
        <v>562</v>
      </c>
      <c r="B48">
        <f>B47/B26</f>
        <v>2.6919144821829071</v>
      </c>
      <c r="C48" s="1" t="s">
        <v>563</v>
      </c>
      <c r="D48" s="1"/>
      <c r="O48" t="s">
        <v>566</v>
      </c>
      <c r="P48" s="17">
        <f>$B$48*P2*1000</f>
        <v>904.54116949450417</v>
      </c>
      <c r="Q48" s="17">
        <f>$B$48*Q2*1000</f>
        <v>1027.8876926073913</v>
      </c>
      <c r="R48" s="17">
        <f>$B$48*R2*1000</f>
        <v>1151.2342157202784</v>
      </c>
      <c r="S48" s="17">
        <f>$B$48*S2*1000</f>
        <v>1630.9151389370609</v>
      </c>
      <c r="T48" s="17">
        <f>$B$48*T2*1000</f>
        <v>2110.5960621538429</v>
      </c>
    </row>
    <row r="49" spans="1:23">
      <c r="A49" t="s">
        <v>565</v>
      </c>
      <c r="B49">
        <f>503/1000*($B$25)*1000</f>
        <v>228.15677600000001</v>
      </c>
      <c r="C49" s="1" t="s">
        <v>564</v>
      </c>
      <c r="D49" s="1"/>
      <c r="O49" t="s">
        <v>566</v>
      </c>
      <c r="U49" s="17">
        <f>$B49*U$2</f>
        <v>587.49092142054405</v>
      </c>
      <c r="V49" s="17">
        <f t="shared" ref="V49:W52" si="20">$B49*V$2</f>
        <v>734.36365177568007</v>
      </c>
      <c r="W49" s="17">
        <f t="shared" si="20"/>
        <v>807.80001695324813</v>
      </c>
    </row>
    <row r="50" spans="1:23">
      <c r="A50" t="s">
        <v>568</v>
      </c>
      <c r="B50">
        <f>941/1000*($B$25)*1000</f>
        <v>426.83007199999997</v>
      </c>
      <c r="C50" s="1" t="s">
        <v>564</v>
      </c>
      <c r="D50" s="1"/>
      <c r="O50" t="s">
        <v>566</v>
      </c>
      <c r="U50" s="17">
        <f t="shared" ref="U50:U52" si="21">$B50*U$2</f>
        <v>1099.0635329159682</v>
      </c>
      <c r="V50" s="17">
        <f t="shared" si="20"/>
        <v>1373.8294161449599</v>
      </c>
      <c r="W50" s="17">
        <f t="shared" si="20"/>
        <v>1511.2123577594559</v>
      </c>
    </row>
    <row r="51" spans="1:23">
      <c r="A51" t="s">
        <v>567</v>
      </c>
      <c r="B51">
        <f>AVERAGE(499,729)/1000*($B$25)*1000</f>
        <v>278.50548799999996</v>
      </c>
      <c r="C51" s="1" t="s">
        <v>564</v>
      </c>
      <c r="D51" s="1"/>
      <c r="O51" t="s">
        <v>566</v>
      </c>
      <c r="U51" s="17">
        <f t="shared" si="21"/>
        <v>717.13603529267198</v>
      </c>
      <c r="V51" s="17">
        <f t="shared" si="20"/>
        <v>896.42004411583991</v>
      </c>
      <c r="W51" s="17">
        <f t="shared" si="20"/>
        <v>986.06204852742394</v>
      </c>
    </row>
    <row r="52" spans="1:23">
      <c r="A52" t="s">
        <v>572</v>
      </c>
      <c r="B52">
        <v>639.15</v>
      </c>
      <c r="C52" s="1" t="s">
        <v>569</v>
      </c>
      <c r="D52" s="1"/>
      <c r="O52" t="s">
        <v>566</v>
      </c>
      <c r="U52" s="17">
        <f>$B52*U$2</f>
        <v>1645.7754576000002</v>
      </c>
      <c r="V52" s="17">
        <f>$B52*V$2</f>
        <v>2057.2193219999999</v>
      </c>
      <c r="W52" s="17">
        <f>$B52*W$2</f>
        <v>2262.9412542</v>
      </c>
    </row>
    <row r="53" spans="1:23">
      <c r="A53" t="s">
        <v>571</v>
      </c>
      <c r="B53">
        <v>801.61</v>
      </c>
      <c r="C53" s="1" t="s">
        <v>569</v>
      </c>
      <c r="D53" s="1"/>
    </row>
    <row r="54" spans="1:23">
      <c r="D54" s="1"/>
    </row>
    <row r="55" spans="1:23">
      <c r="A55" t="s">
        <v>573</v>
      </c>
      <c r="B55">
        <f>1993/B24</f>
        <v>1238.395864143065</v>
      </c>
      <c r="C55" s="1" t="s">
        <v>570</v>
      </c>
      <c r="D55" s="1"/>
    </row>
    <row r="56" spans="1:23">
      <c r="D56" s="1"/>
    </row>
    <row r="57" spans="1:23">
      <c r="D57" s="1"/>
    </row>
    <row r="58" spans="1:23">
      <c r="D58" s="1"/>
    </row>
    <row r="60" spans="1:23">
      <c r="A60" t="s">
        <v>189</v>
      </c>
      <c r="B60" s="1"/>
    </row>
    <row r="61" spans="1:23">
      <c r="A61" t="s">
        <v>190</v>
      </c>
      <c r="C61" s="1" t="s">
        <v>25</v>
      </c>
    </row>
    <row r="62" spans="1:23">
      <c r="A62" t="s">
        <v>214</v>
      </c>
      <c r="C62" s="1" t="s">
        <v>213</v>
      </c>
    </row>
    <row r="63" spans="1:23">
      <c r="A63" t="s">
        <v>280</v>
      </c>
      <c r="C63" t="s">
        <v>281</v>
      </c>
    </row>
    <row r="64" spans="1:23">
      <c r="A64" t="s">
        <v>534</v>
      </c>
      <c r="C64" s="1" t="s">
        <v>535</v>
      </c>
    </row>
    <row r="65" spans="1:3">
      <c r="A65" t="s">
        <v>532</v>
      </c>
      <c r="C65" s="1" t="s">
        <v>533</v>
      </c>
    </row>
  </sheetData>
  <hyperlinks>
    <hyperlink ref="G2" r:id="rId1" xr:uid="{00000000-0004-0000-0000-000000000000}"/>
    <hyperlink ref="G4" r:id="rId2" xr:uid="{00000000-0004-0000-0000-000002000000}"/>
    <hyperlink ref="G10" r:id="rId3" xr:uid="{00000000-0004-0000-0000-000003000000}"/>
    <hyperlink ref="G11" r:id="rId4" xr:uid="{00000000-0004-0000-0000-000004000000}"/>
    <hyperlink ref="G8" r:id="rId5" xr:uid="{00000000-0004-0000-0000-000005000000}"/>
    <hyperlink ref="G5" r:id="rId6" xr:uid="{00000000-0004-0000-0000-000006000000}"/>
    <hyperlink ref="G7" r:id="rId7" xr:uid="{00000000-0004-0000-0000-000008000000}"/>
    <hyperlink ref="I2" r:id="rId8" xr:uid="{3A0FE471-002D-C745-9393-501FD5436EAB}"/>
    <hyperlink ref="I4" r:id="rId9" xr:uid="{CBF19A0E-DDB6-FC40-BD62-19DD5EE870F2}"/>
    <hyperlink ref="I10" r:id="rId10" xr:uid="{901B4F7E-6F6E-5347-93B7-B08D1A2FC299}"/>
    <hyperlink ref="I11" r:id="rId11" xr:uid="{B31F7FBB-257B-3646-A83B-1FA2109CA591}"/>
    <hyperlink ref="I8" r:id="rId12" xr:uid="{61D40140-7496-9544-9F18-EDD60C1737A2}"/>
    <hyperlink ref="I7" r:id="rId13" xr:uid="{E4F2DEC9-87B0-A54D-95B2-9CCFA4BFDDF1}"/>
    <hyperlink ref="C35" r:id="rId14" xr:uid="{0A7003EA-9E75-AF48-932E-EDA553AB6971}"/>
    <hyperlink ref="G12" r:id="rId15" xr:uid="{CBAEA7FA-5583-4A48-9524-C2CEBF03CB81}"/>
    <hyperlink ref="I12" r:id="rId16" xr:uid="{AF664887-5D82-924A-91EF-C64611E258F2}"/>
    <hyperlink ref="G17" r:id="rId17" xr:uid="{571B20E6-5F57-0249-9CEB-58921B6C40DA}"/>
    <hyperlink ref="I17" r:id="rId18" xr:uid="{F9B031B3-87D5-3043-8460-C8506647951C}"/>
    <hyperlink ref="G18" r:id="rId19" xr:uid="{8B92E77D-B988-D947-9082-CDBC1298ABA6}"/>
    <hyperlink ref="G19" r:id="rId20" xr:uid="{A1E344C4-65A8-1541-B277-0547009DE266}"/>
    <hyperlink ref="I18" r:id="rId21" xr:uid="{CDEBA737-5B2A-6242-892E-2D9DF167380C}"/>
    <hyperlink ref="I19" r:id="rId22" xr:uid="{99596A97-96BA-394A-B433-C0A5A6EA2434}"/>
    <hyperlink ref="G14" r:id="rId23" xr:uid="{29D73550-3789-2C48-A7DA-146E7866F9BE}"/>
    <hyperlink ref="I14" r:id="rId24" xr:uid="{728CD88B-6421-A849-BC71-D032E56A681E}"/>
    <hyperlink ref="C31" r:id="rId25" xr:uid="{7F053EC9-AF4E-414B-A7F9-0DA90A3EFA76}"/>
    <hyperlink ref="D31" r:id="rId26" xr:uid="{6CB27BD8-C146-D04C-97FA-8C730A5ECC71}"/>
    <hyperlink ref="E2" r:id="rId27" xr:uid="{CE420821-4DC8-9842-8630-E7B88BB99961}"/>
    <hyperlink ref="E5" r:id="rId28" xr:uid="{B6277222-B7B4-C244-9BDD-E8EBD787993D}"/>
    <hyperlink ref="I5" r:id="rId29" xr:uid="{25A8372F-2798-AC4F-9F30-E03F5A6020F9}"/>
    <hyperlink ref="C61" r:id="rId30" xr:uid="{78A085A6-34F9-B24D-A8A6-2EB1795E114E}"/>
    <hyperlink ref="E6" r:id="rId31" xr:uid="{F977EA8E-5923-6C42-834B-1DAF9D6D647B}"/>
    <hyperlink ref="G6" r:id="rId32" xr:uid="{D4AAEB2F-D698-764F-8691-22F49BF53FBC}"/>
    <hyperlink ref="I6" r:id="rId33" xr:uid="{DB111DF4-BBA4-034D-A2C8-ABDED318841E}"/>
    <hyperlink ref="D44" r:id="rId34" location=":~:text=That's%20good%20new%20for%20Tesla,kilowatt%2Dhour%2C%20or%20kWh." xr:uid="{B9920A6B-34E6-604D-BE1E-A8134A48E297}"/>
    <hyperlink ref="G15" r:id="rId35" location=":~:text=That's%20good%20new%20for%20Tesla,kilowatt%2Dhour%2C%20or%20kWh." xr:uid="{922673D0-E0EC-7F41-AB00-95F48BC4A92C}"/>
    <hyperlink ref="I15" r:id="rId36" location=":~:text=That's%20good%20new%20for%20Tesla,kilowatt%2Dhour%2C%20or%20kWh." xr:uid="{61EDD5F2-9460-D549-9344-53CA0B2D67EA}"/>
    <hyperlink ref="C30" r:id="rId37" location=":~:text=Battery%20and%20Drive%20Unit%20Limited%20Warranty,-The%20Battery%20and&amp;text=8%20years%20or%20100%2C000%20miles,capacity%20over%20the%20warranty%20period.&amp;text=8%20years%20or%20120%2C000%20miles,capacity%20over%20the%20warranty%20period." display="https://www.tesla.com/support/vehicle-warranty#:~:text=Battery%20and%20Drive%20Unit%20Limited%20Warranty,-The%20Battery%20and&amp;text=8%20years%20or%20100%2C000%20miles,capacity%20over%20the%20warranty%20period.&amp;text=8%20years%20or%20120%2C000%20miles,capacity%20over%20the%20warranty%20period." xr:uid="{25B742F1-3BF6-C348-8700-F9ECFF52A4D3}"/>
    <hyperlink ref="E14" r:id="rId38" xr:uid="{AD99BA86-A4B7-F746-953F-97AB1B3EED53}"/>
    <hyperlink ref="E18" r:id="rId39" xr:uid="{1A5F57D9-E857-6446-BB67-90FB77C91796}"/>
    <hyperlink ref="C33" r:id="rId40" xr:uid="{38B5C98C-081F-124D-8082-72CACDE46898}"/>
    <hyperlink ref="K5" r:id="rId41" xr:uid="{6D1AF389-53E6-924E-AEA5-BCB5F6B17300}"/>
    <hyperlink ref="K6" r:id="rId42" xr:uid="{1403C16D-76A3-D745-9813-EB39D267D402}"/>
    <hyperlink ref="K17" r:id="rId43" xr:uid="{B0C421F1-6E53-684A-820C-209E0DF715C4}"/>
    <hyperlink ref="K18" r:id="rId44" xr:uid="{5E24C4F7-AA8A-C543-B410-2EE6F5CC2488}"/>
    <hyperlink ref="K19" r:id="rId45" xr:uid="{6F7F9182-003A-944D-ADB1-C5EB8DBECF0D}"/>
    <hyperlink ref="K7" r:id="rId46" xr:uid="{C96B2D14-F778-E348-A612-7F2EF61D2D0F}"/>
    <hyperlink ref="K11" r:id="rId47" xr:uid="{0D745047-39CE-514D-80ED-1DA95B6B30ED}"/>
    <hyperlink ref="K14" r:id="rId48" xr:uid="{09BDB932-11AF-F447-A3B9-DE9DD7918089}"/>
    <hyperlink ref="K2" r:id="rId49" xr:uid="{13791F39-75DA-9D46-806E-602A5D330DFD}"/>
    <hyperlink ref="C62" r:id="rId50" xr:uid="{179E9DBC-F7CF-DD47-BD19-3F8E6DD45F3E}"/>
    <hyperlink ref="C32" r:id="rId51" xr:uid="{8E9E4076-83AC-F547-936E-F6A460814CB0}"/>
    <hyperlink ref="C65" r:id="rId52" location="/?v=0&amp;f=A&amp;s=000000000000000000000000000gg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&amp;start=1997&amp;end=2023&amp;maptype=0&amp;ctype=linechart&amp;linechart=" display="https://www.eia.gov/outlooks/steo/data/browser/#/?v=0&amp;f=A&amp;s=000000000000000000000000000gg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&amp;start=1997&amp;end=2023&amp;maptype=0&amp;ctype=linechart&amp;linechart=" xr:uid="{9A2F2414-2B43-7D4F-B474-B918BFD9E406}"/>
    <hyperlink ref="C64" r:id="rId53" xr:uid="{2CD99795-1D4B-344A-9AF1-1A16E2A5F58D}"/>
    <hyperlink ref="C48" r:id="rId54" xr:uid="{C9A68E0C-34EC-AC4A-AE43-6F9506C42202}"/>
    <hyperlink ref="C49" r:id="rId55" xr:uid="{3AFFCAA3-3A36-FC40-8FEB-81A871950267}"/>
    <hyperlink ref="C50" r:id="rId56" xr:uid="{044D9A78-1FF1-C940-9DD3-888445021B47}"/>
    <hyperlink ref="C51" r:id="rId57" xr:uid="{344403F7-ED1F-3647-9A26-81183C32A1CD}"/>
    <hyperlink ref="C55" r:id="rId58" location=":~:text=Class%202%20BEV%20PUTs%20and%20vans%20result,BEV%20trucks%20emit%201862%20g%20CO2e%20for" xr:uid="{3F50984D-ED3C-A34D-A8EF-DED219D4F52F}"/>
  </hyperlinks>
  <pageMargins left="0.75" right="0.75" top="1" bottom="1" header="0.5" footer="0.5"/>
  <legacyDrawing r:id="rId5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6B62-D081-2A44-A32B-E5D99F3B3045}">
  <dimension ref="A1:N40"/>
  <sheetViews>
    <sheetView workbookViewId="0">
      <selection activeCell="O25" sqref="O25"/>
    </sheetView>
  </sheetViews>
  <sheetFormatPr baseColWidth="10" defaultRowHeight="16"/>
  <cols>
    <col min="9" max="9" width="12.83203125" bestFit="1" customWidth="1"/>
    <col min="10" max="12" width="12.83203125" customWidth="1"/>
    <col min="13" max="13" width="29" customWidth="1"/>
  </cols>
  <sheetData>
    <row r="1" spans="1:14">
      <c r="A1" s="10" t="s">
        <v>229</v>
      </c>
    </row>
    <row r="2" spans="1:14">
      <c r="A2" t="s">
        <v>228</v>
      </c>
      <c r="B2">
        <v>96</v>
      </c>
    </row>
    <row r="3" spans="1:14">
      <c r="A3" t="s">
        <v>158</v>
      </c>
      <c r="B3">
        <v>0.25</v>
      </c>
    </row>
    <row r="4" spans="1:14">
      <c r="A4" t="s">
        <v>159</v>
      </c>
      <c r="B4">
        <v>1</v>
      </c>
    </row>
    <row r="6" spans="1:14">
      <c r="A6" s="10" t="s">
        <v>230</v>
      </c>
      <c r="B6" s="1" t="s">
        <v>245</v>
      </c>
    </row>
    <row r="7" spans="1:14">
      <c r="A7" s="10" t="s">
        <v>222</v>
      </c>
      <c r="B7" s="10" t="s">
        <v>224</v>
      </c>
      <c r="C7" s="10" t="s">
        <v>232</v>
      </c>
      <c r="D7" s="10" t="s">
        <v>234</v>
      </c>
      <c r="E7" s="10" t="s">
        <v>235</v>
      </c>
      <c r="F7" s="10" t="s">
        <v>225</v>
      </c>
      <c r="G7" s="10" t="s">
        <v>226</v>
      </c>
      <c r="H7" s="10" t="s">
        <v>227</v>
      </c>
      <c r="I7" s="10" t="s">
        <v>231</v>
      </c>
      <c r="J7" s="10" t="s">
        <v>236</v>
      </c>
      <c r="K7" s="10" t="s">
        <v>238</v>
      </c>
      <c r="L7" s="10" t="s">
        <v>239</v>
      </c>
      <c r="M7" s="10" t="s">
        <v>30</v>
      </c>
      <c r="N7" s="10" t="s">
        <v>19</v>
      </c>
    </row>
    <row r="8" spans="1:14">
      <c r="A8" t="s">
        <v>223</v>
      </c>
      <c r="B8" t="s">
        <v>246</v>
      </c>
      <c r="C8" t="s">
        <v>233</v>
      </c>
      <c r="D8">
        <v>-116.937844</v>
      </c>
      <c r="E8">
        <v>32.566047599999997</v>
      </c>
      <c r="F8">
        <f>9/$B$3</f>
        <v>36</v>
      </c>
      <c r="G8">
        <f>23/$B$3</f>
        <v>92</v>
      </c>
      <c r="H8">
        <f>0.5/$B$3</f>
        <v>2</v>
      </c>
      <c r="I8" s="23">
        <v>3100000</v>
      </c>
      <c r="J8">
        <v>4</v>
      </c>
      <c r="K8" t="s">
        <v>240</v>
      </c>
      <c r="L8" t="s">
        <v>241</v>
      </c>
      <c r="M8" t="s">
        <v>259</v>
      </c>
      <c r="N8" s="1" t="s">
        <v>237</v>
      </c>
    </row>
    <row r="9" spans="1:14">
      <c r="A9" t="s">
        <v>223</v>
      </c>
      <c r="B9" t="s">
        <v>247</v>
      </c>
      <c r="C9" t="s">
        <v>242</v>
      </c>
      <c r="D9">
        <v>-117.4484212</v>
      </c>
      <c r="E9">
        <v>34.048957899999998</v>
      </c>
      <c r="F9">
        <f>0/$B$3</f>
        <v>0</v>
      </c>
      <c r="G9">
        <f>24/$B$3</f>
        <v>96</v>
      </c>
      <c r="H9">
        <f>0.5/$B$3</f>
        <v>2</v>
      </c>
      <c r="I9" s="23">
        <v>637883</v>
      </c>
      <c r="J9">
        <v>1</v>
      </c>
      <c r="K9" t="s">
        <v>243</v>
      </c>
      <c r="L9" t="s">
        <v>244</v>
      </c>
      <c r="M9" t="s">
        <v>260</v>
      </c>
      <c r="N9" s="1"/>
    </row>
    <row r="10" spans="1:14">
      <c r="A10" t="s">
        <v>223</v>
      </c>
      <c r="B10" s="10" t="s">
        <v>248</v>
      </c>
      <c r="C10" t="s">
        <v>252</v>
      </c>
      <c r="D10">
        <v>-117.3012609</v>
      </c>
      <c r="E10">
        <v>33.880661000000003</v>
      </c>
      <c r="F10">
        <v>0</v>
      </c>
      <c r="G10">
        <v>96</v>
      </c>
      <c r="H10">
        <v>2</v>
      </c>
      <c r="I10" s="23">
        <v>1000000</v>
      </c>
      <c r="J10">
        <v>1</v>
      </c>
      <c r="K10" t="s">
        <v>253</v>
      </c>
      <c r="L10" t="s">
        <v>254</v>
      </c>
      <c r="M10" t="s">
        <v>260</v>
      </c>
      <c r="N10" s="1" t="s">
        <v>251</v>
      </c>
    </row>
    <row r="11" spans="1:14">
      <c r="A11" t="s">
        <v>223</v>
      </c>
      <c r="B11" t="s">
        <v>249</v>
      </c>
      <c r="C11" t="s">
        <v>258</v>
      </c>
      <c r="D11">
        <v>-119.1362295</v>
      </c>
      <c r="E11">
        <v>34.217467900000003</v>
      </c>
      <c r="F11">
        <v>0</v>
      </c>
      <c r="G11">
        <v>96</v>
      </c>
      <c r="H11">
        <v>2</v>
      </c>
      <c r="I11" s="23">
        <v>2300000</v>
      </c>
      <c r="J11">
        <v>1</v>
      </c>
      <c r="K11" t="s">
        <v>257</v>
      </c>
      <c r="L11" t="s">
        <v>277</v>
      </c>
      <c r="M11" t="s">
        <v>260</v>
      </c>
      <c r="N11" s="1" t="s">
        <v>256</v>
      </c>
    </row>
    <row r="12" spans="1:14">
      <c r="A12" t="s">
        <v>255</v>
      </c>
      <c r="B12" t="s">
        <v>250</v>
      </c>
      <c r="C12" t="s">
        <v>273</v>
      </c>
      <c r="D12">
        <v>-119.052499</v>
      </c>
      <c r="E12">
        <v>35.447432399999997</v>
      </c>
      <c r="F12">
        <v>0</v>
      </c>
      <c r="G12">
        <v>96</v>
      </c>
      <c r="H12">
        <v>2</v>
      </c>
      <c r="I12" s="23">
        <v>2600000</v>
      </c>
      <c r="J12">
        <v>4</v>
      </c>
      <c r="K12" t="s">
        <v>275</v>
      </c>
      <c r="L12" t="s">
        <v>276</v>
      </c>
      <c r="M12" t="s">
        <v>261</v>
      </c>
      <c r="N12" s="1" t="s">
        <v>274</v>
      </c>
    </row>
    <row r="13" spans="1:14">
      <c r="I13" s="23"/>
      <c r="N13" s="1"/>
    </row>
    <row r="14" spans="1:14">
      <c r="A14" t="s">
        <v>263</v>
      </c>
      <c r="B14" t="s">
        <v>264</v>
      </c>
      <c r="C14" t="s">
        <v>266</v>
      </c>
      <c r="D14">
        <v>-122.01667190000001</v>
      </c>
      <c r="E14">
        <v>37.520584300000003</v>
      </c>
      <c r="F14">
        <v>0</v>
      </c>
      <c r="G14">
        <v>96</v>
      </c>
      <c r="H14">
        <v>2</v>
      </c>
      <c r="I14" s="23">
        <v>574650</v>
      </c>
      <c r="J14">
        <v>1</v>
      </c>
      <c r="K14" t="s">
        <v>314</v>
      </c>
      <c r="L14" t="s">
        <v>315</v>
      </c>
      <c r="M14" t="s">
        <v>261</v>
      </c>
      <c r="N14" s="1" t="s">
        <v>293</v>
      </c>
    </row>
    <row r="15" spans="1:14">
      <c r="A15" t="s">
        <v>263</v>
      </c>
      <c r="B15" t="s">
        <v>265</v>
      </c>
      <c r="C15" t="s">
        <v>269</v>
      </c>
      <c r="D15">
        <v>-121.576649</v>
      </c>
      <c r="E15">
        <v>38.682479000000001</v>
      </c>
      <c r="F15">
        <v>0</v>
      </c>
      <c r="G15">
        <v>96</v>
      </c>
      <c r="H15">
        <v>2</v>
      </c>
      <c r="I15" s="23">
        <v>855000</v>
      </c>
      <c r="J15">
        <v>1</v>
      </c>
      <c r="K15" t="s">
        <v>316</v>
      </c>
      <c r="L15" t="s">
        <v>317</v>
      </c>
      <c r="M15" t="s">
        <v>261</v>
      </c>
      <c r="N15" s="1" t="s">
        <v>297</v>
      </c>
    </row>
    <row r="16" spans="1:14">
      <c r="A16" t="s">
        <v>263</v>
      </c>
      <c r="B16" s="10" t="s">
        <v>267</v>
      </c>
      <c r="C16" t="s">
        <v>268</v>
      </c>
      <c r="D16">
        <v>-121.16770630000001</v>
      </c>
      <c r="E16">
        <v>37.468952399999999</v>
      </c>
      <c r="F16">
        <v>0</v>
      </c>
      <c r="G16">
        <v>96</v>
      </c>
      <c r="H16">
        <v>2</v>
      </c>
      <c r="I16" s="23">
        <v>1000000</v>
      </c>
      <c r="J16">
        <v>1</v>
      </c>
      <c r="K16" t="s">
        <v>318</v>
      </c>
      <c r="L16" t="s">
        <v>326</v>
      </c>
      <c r="M16" t="s">
        <v>261</v>
      </c>
      <c r="N16" s="1" t="s">
        <v>293</v>
      </c>
    </row>
    <row r="17" spans="1:14">
      <c r="A17" t="s">
        <v>255</v>
      </c>
      <c r="B17" t="s">
        <v>271</v>
      </c>
      <c r="C17" t="s">
        <v>270</v>
      </c>
      <c r="D17">
        <v>-121.25451030000001</v>
      </c>
      <c r="E17">
        <v>37.914600499999999</v>
      </c>
      <c r="F17">
        <v>0</v>
      </c>
      <c r="G17">
        <v>96</v>
      </c>
      <c r="H17">
        <v>2</v>
      </c>
      <c r="I17" s="23">
        <v>388000</v>
      </c>
      <c r="J17">
        <v>1</v>
      </c>
      <c r="K17" t="s">
        <v>327</v>
      </c>
      <c r="L17" t="s">
        <v>328</v>
      </c>
      <c r="M17" t="s">
        <v>261</v>
      </c>
      <c r="N17" s="1" t="s">
        <v>298</v>
      </c>
    </row>
    <row r="18" spans="1:14">
      <c r="A18" t="s">
        <v>255</v>
      </c>
      <c r="B18" s="24" t="s">
        <v>262</v>
      </c>
      <c r="C18" t="s">
        <v>272</v>
      </c>
      <c r="D18">
        <v>-119.7675931</v>
      </c>
      <c r="E18">
        <v>36.683372300000002</v>
      </c>
      <c r="F18">
        <v>0</v>
      </c>
      <c r="G18">
        <v>96</v>
      </c>
      <c r="H18">
        <v>2</v>
      </c>
      <c r="I18" s="23">
        <v>880000</v>
      </c>
      <c r="J18">
        <v>1</v>
      </c>
      <c r="K18" t="s">
        <v>329</v>
      </c>
      <c r="L18" t="s">
        <v>330</v>
      </c>
      <c r="M18" t="s">
        <v>261</v>
      </c>
      <c r="N18" s="1" t="s">
        <v>296</v>
      </c>
    </row>
    <row r="19" spans="1:14">
      <c r="I19" s="23"/>
      <c r="N19" s="1"/>
    </row>
    <row r="20" spans="1:14">
      <c r="A20" t="s">
        <v>282</v>
      </c>
      <c r="B20" t="s">
        <v>299</v>
      </c>
      <c r="C20" t="s">
        <v>300</v>
      </c>
      <c r="D20">
        <v>-95.431313299999999</v>
      </c>
      <c r="E20">
        <v>29.934443900000002</v>
      </c>
      <c r="F20">
        <v>0</v>
      </c>
      <c r="G20">
        <v>96</v>
      </c>
      <c r="H20">
        <v>2</v>
      </c>
      <c r="I20" s="23">
        <v>1020000</v>
      </c>
      <c r="J20">
        <v>1</v>
      </c>
      <c r="K20" t="s">
        <v>331</v>
      </c>
      <c r="L20" t="s">
        <v>332</v>
      </c>
      <c r="M20" s="1" t="s">
        <v>484</v>
      </c>
      <c r="N20" s="1" t="s">
        <v>301</v>
      </c>
    </row>
    <row r="21" spans="1:14">
      <c r="A21" t="s">
        <v>282</v>
      </c>
      <c r="B21" t="s">
        <v>302</v>
      </c>
      <c r="C21" t="s">
        <v>303</v>
      </c>
      <c r="D21">
        <v>-97.600440000000006</v>
      </c>
      <c r="E21">
        <v>30.4318031</v>
      </c>
      <c r="F21">
        <v>0</v>
      </c>
      <c r="G21">
        <v>96</v>
      </c>
      <c r="H21">
        <v>2</v>
      </c>
      <c r="I21" s="23">
        <v>820000</v>
      </c>
      <c r="J21">
        <v>1</v>
      </c>
      <c r="K21" t="s">
        <v>333</v>
      </c>
      <c r="L21" t="s">
        <v>334</v>
      </c>
      <c r="M21" s="1" t="s">
        <v>551</v>
      </c>
      <c r="N21" s="1" t="s">
        <v>304</v>
      </c>
    </row>
    <row r="22" spans="1:14">
      <c r="A22" t="s">
        <v>282</v>
      </c>
      <c r="B22" s="10" t="s">
        <v>308</v>
      </c>
      <c r="C22" t="s">
        <v>309</v>
      </c>
      <c r="D22">
        <v>-98.294625999999994</v>
      </c>
      <c r="E22">
        <v>29.5980314</v>
      </c>
      <c r="F22">
        <v>0</v>
      </c>
      <c r="G22">
        <v>96</v>
      </c>
      <c r="H22">
        <v>2</v>
      </c>
      <c r="I22" s="23">
        <v>1260000</v>
      </c>
      <c r="J22">
        <v>1</v>
      </c>
      <c r="K22" t="s">
        <v>335</v>
      </c>
      <c r="L22" t="s">
        <v>336</v>
      </c>
      <c r="M22" s="1" t="s">
        <v>485</v>
      </c>
      <c r="N22" s="1" t="s">
        <v>293</v>
      </c>
    </row>
    <row r="23" spans="1:14">
      <c r="A23" t="s">
        <v>282</v>
      </c>
      <c r="B23" s="24" t="s">
        <v>311</v>
      </c>
      <c r="C23" t="s">
        <v>310</v>
      </c>
      <c r="D23">
        <v>-97.3392999</v>
      </c>
      <c r="E23">
        <v>32.970935400000002</v>
      </c>
      <c r="F23">
        <v>0</v>
      </c>
      <c r="G23">
        <v>96</v>
      </c>
      <c r="H23">
        <v>2</v>
      </c>
      <c r="I23" s="23">
        <v>1100000</v>
      </c>
      <c r="J23">
        <v>1</v>
      </c>
      <c r="K23" t="s">
        <v>337</v>
      </c>
      <c r="L23" t="s">
        <v>338</v>
      </c>
      <c r="M23" s="1" t="s">
        <v>486</v>
      </c>
      <c r="N23" s="1" t="s">
        <v>293</v>
      </c>
    </row>
    <row r="24" spans="1:14">
      <c r="A24" t="s">
        <v>282</v>
      </c>
      <c r="B24" t="s">
        <v>313</v>
      </c>
      <c r="C24" t="s">
        <v>312</v>
      </c>
      <c r="D24">
        <v>-96.736956800000002</v>
      </c>
      <c r="E24">
        <v>32.660366799999998</v>
      </c>
      <c r="F24">
        <v>0</v>
      </c>
      <c r="G24">
        <v>96</v>
      </c>
      <c r="H24">
        <v>2</v>
      </c>
      <c r="I24" s="23">
        <v>500000</v>
      </c>
      <c r="J24">
        <v>1</v>
      </c>
      <c r="K24" t="s">
        <v>339</v>
      </c>
      <c r="L24" t="s">
        <v>340</v>
      </c>
      <c r="M24" s="1" t="s">
        <v>486</v>
      </c>
      <c r="N24" s="1" t="s">
        <v>293</v>
      </c>
    </row>
    <row r="25" spans="1:14">
      <c r="A25" t="s">
        <v>282</v>
      </c>
      <c r="B25" t="s">
        <v>554</v>
      </c>
      <c r="C25" t="s">
        <v>553</v>
      </c>
      <c r="D25">
        <v>-97.171049999999994</v>
      </c>
      <c r="E25">
        <v>31.49539</v>
      </c>
      <c r="F25">
        <v>0</v>
      </c>
      <c r="G25">
        <v>96</v>
      </c>
      <c r="H25">
        <v>2</v>
      </c>
      <c r="I25" s="23">
        <v>500000</v>
      </c>
      <c r="J25">
        <v>1</v>
      </c>
      <c r="K25" t="s">
        <v>339</v>
      </c>
      <c r="L25" t="s">
        <v>340</v>
      </c>
      <c r="M25" s="1" t="s">
        <v>486</v>
      </c>
      <c r="N25" s="1" t="s">
        <v>559</v>
      </c>
    </row>
    <row r="26" spans="1:14">
      <c r="A26" t="s">
        <v>282</v>
      </c>
      <c r="B26" t="s">
        <v>555</v>
      </c>
      <c r="C26" t="s">
        <v>556</v>
      </c>
      <c r="D26">
        <v>-95.915509999999998</v>
      </c>
      <c r="E26">
        <v>29.782070000000001</v>
      </c>
      <c r="F26">
        <v>0</v>
      </c>
      <c r="G26">
        <v>96</v>
      </c>
      <c r="H26">
        <v>2</v>
      </c>
      <c r="I26" s="23">
        <v>1020000</v>
      </c>
      <c r="J26">
        <v>1</v>
      </c>
      <c r="K26" t="s">
        <v>331</v>
      </c>
      <c r="L26" t="s">
        <v>332</v>
      </c>
      <c r="M26" s="1" t="s">
        <v>484</v>
      </c>
      <c r="N26" s="1"/>
    </row>
    <row r="27" spans="1:14">
      <c r="A27" t="s">
        <v>282</v>
      </c>
      <c r="B27" t="s">
        <v>558</v>
      </c>
      <c r="C27" t="s">
        <v>557</v>
      </c>
      <c r="D27">
        <v>-95.985460000000003</v>
      </c>
      <c r="E27">
        <v>31.259709999999998</v>
      </c>
      <c r="F27" t="s">
        <v>543</v>
      </c>
      <c r="G27" t="s">
        <v>543</v>
      </c>
      <c r="H27" t="s">
        <v>543</v>
      </c>
      <c r="I27" s="23" t="s">
        <v>543</v>
      </c>
      <c r="J27" t="s">
        <v>543</v>
      </c>
      <c r="K27" t="s">
        <v>543</v>
      </c>
      <c r="L27" t="s">
        <v>543</v>
      </c>
      <c r="M27" s="1" t="s">
        <v>486</v>
      </c>
      <c r="N27" s="1" t="s">
        <v>559</v>
      </c>
    </row>
    <row r="28" spans="1:14">
      <c r="I28" s="23"/>
    </row>
    <row r="29" spans="1:14">
      <c r="A29" t="s">
        <v>283</v>
      </c>
      <c r="B29" t="s">
        <v>285</v>
      </c>
      <c r="C29" t="s">
        <v>286</v>
      </c>
      <c r="D29">
        <v>-75.398194899999993</v>
      </c>
      <c r="E29">
        <v>40.124566999999999</v>
      </c>
      <c r="F29">
        <v>0</v>
      </c>
      <c r="G29">
        <v>96</v>
      </c>
      <c r="H29">
        <v>2</v>
      </c>
      <c r="I29" s="23">
        <v>200000</v>
      </c>
      <c r="J29">
        <v>1</v>
      </c>
      <c r="K29" t="s">
        <v>341</v>
      </c>
      <c r="L29" t="s">
        <v>342</v>
      </c>
      <c r="M29" s="1" t="s">
        <v>294</v>
      </c>
      <c r="N29" s="1" t="s">
        <v>293</v>
      </c>
    </row>
    <row r="30" spans="1:14">
      <c r="A30" t="s">
        <v>283</v>
      </c>
      <c r="B30" s="10" t="s">
        <v>287</v>
      </c>
      <c r="C30" t="s">
        <v>288</v>
      </c>
      <c r="D30">
        <v>-74.190404299999997</v>
      </c>
      <c r="E30">
        <v>40.619214599999999</v>
      </c>
      <c r="F30">
        <v>0</v>
      </c>
      <c r="G30">
        <v>96</v>
      </c>
      <c r="H30">
        <v>2</v>
      </c>
      <c r="I30" s="23">
        <v>855000</v>
      </c>
      <c r="J30">
        <v>1</v>
      </c>
      <c r="K30" t="s">
        <v>343</v>
      </c>
      <c r="L30" t="s">
        <v>344</v>
      </c>
      <c r="M30" t="s">
        <v>295</v>
      </c>
      <c r="N30" s="1" t="s">
        <v>292</v>
      </c>
    </row>
    <row r="31" spans="1:14">
      <c r="A31" t="s">
        <v>283</v>
      </c>
      <c r="B31" t="s">
        <v>289</v>
      </c>
      <c r="C31" t="s">
        <v>290</v>
      </c>
      <c r="D31">
        <v>-73.987493299999997</v>
      </c>
      <c r="E31">
        <v>40.7490211</v>
      </c>
      <c r="F31">
        <v>0</v>
      </c>
      <c r="G31">
        <v>96</v>
      </c>
      <c r="H31">
        <v>2</v>
      </c>
      <c r="I31" s="23">
        <v>50000</v>
      </c>
      <c r="J31">
        <v>1</v>
      </c>
      <c r="K31" t="s">
        <v>345</v>
      </c>
      <c r="L31" t="s">
        <v>346</v>
      </c>
      <c r="M31" t="s">
        <v>295</v>
      </c>
      <c r="N31" s="1" t="s">
        <v>291</v>
      </c>
    </row>
    <row r="32" spans="1:14">
      <c r="I32" s="23"/>
      <c r="N32" s="1"/>
    </row>
    <row r="33" spans="1:14">
      <c r="A33" t="s">
        <v>284</v>
      </c>
      <c r="B33" s="10" t="s">
        <v>319</v>
      </c>
      <c r="C33" t="s">
        <v>377</v>
      </c>
      <c r="D33">
        <v>121.1883132</v>
      </c>
      <c r="E33">
        <v>31.3103053</v>
      </c>
      <c r="F33">
        <v>0</v>
      </c>
      <c r="G33">
        <v>96</v>
      </c>
      <c r="H33">
        <v>2</v>
      </c>
      <c r="I33" s="23">
        <v>1000000</v>
      </c>
      <c r="J33">
        <v>1</v>
      </c>
      <c r="K33" t="s">
        <v>253</v>
      </c>
      <c r="L33" t="s">
        <v>254</v>
      </c>
      <c r="M33" t="s">
        <v>378</v>
      </c>
      <c r="N33" s="1" t="s">
        <v>347</v>
      </c>
    </row>
    <row r="34" spans="1:14">
      <c r="A34" t="s">
        <v>284</v>
      </c>
      <c r="B34" t="s">
        <v>320</v>
      </c>
      <c r="C34" t="s">
        <v>379</v>
      </c>
      <c r="D34">
        <v>119.0719113</v>
      </c>
      <c r="E34">
        <v>31.664870000000001</v>
      </c>
      <c r="F34">
        <v>0</v>
      </c>
      <c r="G34">
        <v>96</v>
      </c>
      <c r="H34">
        <v>2</v>
      </c>
      <c r="I34" s="23">
        <v>2600000</v>
      </c>
      <c r="J34">
        <v>4</v>
      </c>
      <c r="K34" t="s">
        <v>275</v>
      </c>
      <c r="L34" t="s">
        <v>276</v>
      </c>
      <c r="M34" t="s">
        <v>380</v>
      </c>
      <c r="N34" s="1" t="s">
        <v>347</v>
      </c>
    </row>
    <row r="35" spans="1:14">
      <c r="A35" t="s">
        <v>284</v>
      </c>
      <c r="B35" t="s">
        <v>321</v>
      </c>
      <c r="C35" t="s">
        <v>383</v>
      </c>
      <c r="D35">
        <v>120.8380457</v>
      </c>
      <c r="E35">
        <v>31.371670000000002</v>
      </c>
      <c r="F35">
        <v>0</v>
      </c>
      <c r="G35">
        <v>96</v>
      </c>
      <c r="H35">
        <v>2</v>
      </c>
      <c r="I35" s="23">
        <v>2300000</v>
      </c>
      <c r="J35">
        <v>1</v>
      </c>
      <c r="K35" t="s">
        <v>257</v>
      </c>
      <c r="L35" t="s">
        <v>277</v>
      </c>
      <c r="M35" t="s">
        <v>380</v>
      </c>
      <c r="N35" s="1" t="s">
        <v>347</v>
      </c>
    </row>
    <row r="36" spans="1:14">
      <c r="A36" t="s">
        <v>284</v>
      </c>
      <c r="B36" t="s">
        <v>322</v>
      </c>
      <c r="C36" t="s">
        <v>384</v>
      </c>
      <c r="D36">
        <v>120.4584682</v>
      </c>
      <c r="E36">
        <v>31.511187499999998</v>
      </c>
      <c r="F36">
        <v>0</v>
      </c>
      <c r="G36">
        <v>96</v>
      </c>
      <c r="H36">
        <v>2</v>
      </c>
      <c r="I36" s="23">
        <v>2300000</v>
      </c>
      <c r="J36">
        <v>1</v>
      </c>
      <c r="K36" t="s">
        <v>257</v>
      </c>
      <c r="L36" t="s">
        <v>277</v>
      </c>
      <c r="M36" t="s">
        <v>380</v>
      </c>
      <c r="N36" s="1" t="s">
        <v>347</v>
      </c>
    </row>
    <row r="37" spans="1:14">
      <c r="A37" t="s">
        <v>284</v>
      </c>
      <c r="B37" t="s">
        <v>323</v>
      </c>
      <c r="C37" t="s">
        <v>385</v>
      </c>
      <c r="D37">
        <v>119.8615813</v>
      </c>
      <c r="E37">
        <v>31.871759999999998</v>
      </c>
      <c r="F37">
        <v>0</v>
      </c>
      <c r="G37">
        <v>96</v>
      </c>
      <c r="H37">
        <v>2</v>
      </c>
      <c r="I37" s="23">
        <v>637883</v>
      </c>
      <c r="J37">
        <v>1</v>
      </c>
      <c r="K37" t="s">
        <v>243</v>
      </c>
      <c r="L37" t="s">
        <v>244</v>
      </c>
      <c r="M37" t="s">
        <v>380</v>
      </c>
      <c r="N37" s="1" t="s">
        <v>347</v>
      </c>
    </row>
    <row r="38" spans="1:14">
      <c r="A38" t="s">
        <v>284</v>
      </c>
      <c r="B38" t="s">
        <v>324</v>
      </c>
      <c r="C38" t="s">
        <v>386</v>
      </c>
      <c r="D38">
        <v>120.0577871</v>
      </c>
      <c r="E38">
        <v>30.0777699</v>
      </c>
      <c r="F38">
        <v>0</v>
      </c>
      <c r="G38">
        <v>96</v>
      </c>
      <c r="H38">
        <v>2</v>
      </c>
      <c r="I38" s="23">
        <v>3100000</v>
      </c>
      <c r="J38">
        <v>4</v>
      </c>
      <c r="K38" t="s">
        <v>240</v>
      </c>
      <c r="L38" t="s">
        <v>241</v>
      </c>
      <c r="M38" t="s">
        <v>381</v>
      </c>
      <c r="N38" s="1" t="s">
        <v>347</v>
      </c>
    </row>
    <row r="39" spans="1:14">
      <c r="A39" t="s">
        <v>284</v>
      </c>
      <c r="B39" t="s">
        <v>325</v>
      </c>
      <c r="C39" t="s">
        <v>387</v>
      </c>
      <c r="D39">
        <v>121.45934320000001</v>
      </c>
      <c r="E39">
        <v>29.870562499999998</v>
      </c>
      <c r="F39">
        <v>0</v>
      </c>
      <c r="G39">
        <v>96</v>
      </c>
      <c r="H39">
        <v>2</v>
      </c>
      <c r="I39" s="23">
        <v>3100000</v>
      </c>
      <c r="J39">
        <v>4</v>
      </c>
      <c r="K39" t="s">
        <v>240</v>
      </c>
      <c r="L39" t="s">
        <v>241</v>
      </c>
      <c r="M39" t="s">
        <v>381</v>
      </c>
      <c r="N39" s="1" t="s">
        <v>347</v>
      </c>
    </row>
    <row r="40" spans="1:14">
      <c r="N40" s="38" t="s">
        <v>382</v>
      </c>
    </row>
  </sheetData>
  <hyperlinks>
    <hyperlink ref="N8" r:id="rId1" xr:uid="{E5915094-F805-6A40-867D-5FA8668AC156}"/>
    <hyperlink ref="B6" r:id="rId2" location="United_States" xr:uid="{E3B42ED9-60F5-0840-BCFC-39F38D4B6C6A}"/>
    <hyperlink ref="N10" r:id="rId3" xr:uid="{EA32A1FE-E5EE-5C4E-847A-1C2CD119E024}"/>
    <hyperlink ref="N11" r:id="rId4" location=":~:text=(City%20of%20Oxnard%20courtesy%20photo,square%2Dfoot%20Oxnard%20fulfillment%20center%E2%80%A6" xr:uid="{C7ECB61B-DA74-1447-9C52-9C1AB5084EDE}"/>
    <hyperlink ref="N12" r:id="rId5" location=":~:text=A%202.6M%20square%2Dfoot,with%20three%20full%20mezzanine%20levels." xr:uid="{D33E74A6-41E0-5042-9E4B-6FD1D24D6FE8}"/>
    <hyperlink ref="N31" r:id="rId6" xr:uid="{7A26D6FE-FDE7-4744-9571-E2BDB40369A7}"/>
    <hyperlink ref="N30" r:id="rId7" xr:uid="{27415393-3E98-EF4F-9458-E35D0DB6F9CE}"/>
    <hyperlink ref="N29" r:id="rId8" xr:uid="{8AA86711-04CB-6944-BBA4-07730288FAF1}"/>
    <hyperlink ref="N14" r:id="rId9" xr:uid="{17BEC5EB-6404-DB4A-958D-D0249C9DDDCF}"/>
    <hyperlink ref="N16" r:id="rId10" xr:uid="{31FB57EC-2002-E247-9375-EA72DB1B998F}"/>
    <hyperlink ref="M29" r:id="rId11" xr:uid="{5500C6FC-F65E-1743-AB35-68A4C6EDE665}"/>
    <hyperlink ref="N18" r:id="rId12" xr:uid="{A79A38A4-A419-1C4C-A262-4F760AAFCA66}"/>
    <hyperlink ref="N15" r:id="rId13" location=":~:text=The%20center%2C%20known%20as%20Amazon,a%20recent%20Wednesday%20afternoon%20wearing" xr:uid="{8212E5AA-FD6C-5643-AB0B-4FCF85015C48}"/>
    <hyperlink ref="N17" r:id="rId14" xr:uid="{531DA465-805B-964D-B229-06101CB5C954}"/>
    <hyperlink ref="N20" r:id="rId15" location=":~:text=HOU2%20is%20one%20of%20nine,equipment%2C%20sports%20gear%20and%20electronics." xr:uid="{B11E8DED-D74D-7D4F-8BC7-0AA4AB6DBFFE}"/>
    <hyperlink ref="N21" r:id="rId16" xr:uid="{1093E2D7-B2EF-334F-85A6-DA6F6A322FA5}"/>
    <hyperlink ref="M21" r:id="rId17" display="Austin Energy" xr:uid="{B1321CB9-FE86-2C41-8456-47CB6D9E98DA}"/>
    <hyperlink ref="M23" r:id="rId18" display="Oncor" xr:uid="{2157447B-66B0-D347-9BEE-E0DE5571D850}"/>
    <hyperlink ref="M24" r:id="rId19" display="Oncor" xr:uid="{89403422-B711-4A40-BC7D-1A417037ADD9}"/>
    <hyperlink ref="M22" r:id="rId20" display="CPS Energy" xr:uid="{60A2E66D-2313-3F42-93DC-2DDFB415E338}"/>
    <hyperlink ref="N22" r:id="rId21" xr:uid="{E2ECA7F0-8986-0146-9ED0-69CE7F531EDC}"/>
    <hyperlink ref="N23" r:id="rId22" xr:uid="{438A3DCE-71FE-F64F-A18D-A1F36F4CD387}"/>
    <hyperlink ref="N24" r:id="rId23" xr:uid="{9548E1DC-5FE2-3443-A700-1D7E3A3532B6}"/>
    <hyperlink ref="N33" r:id="rId24" xr:uid="{AC59C5A1-0EE6-A242-A6E7-230E983F60BA}"/>
    <hyperlink ref="N34:N39" r:id="rId25" display="https://www.sf-express.com/cn/sc/download/Special_Warehouse_Service_CN_EN.pdf" xr:uid="{B8120F0F-9C37-E84F-8DFE-6B5380B94FC1}"/>
    <hyperlink ref="M20" r:id="rId26" display="Centerpoint Energy" xr:uid="{063D6893-F8FF-7540-8FC1-E4BB88F9066C}"/>
    <hyperlink ref="M25" r:id="rId27" display="Oncor" xr:uid="{0A19BAB9-13F4-F147-A1F8-D6BF4A58396C}"/>
    <hyperlink ref="M26" r:id="rId28" display="Centerpoint Energy" xr:uid="{ADF3A07C-A185-6940-9789-046BAAD8437D}"/>
    <hyperlink ref="M27" r:id="rId29" display="Oncor" xr:uid="{BCA36A86-DA3B-4140-BF11-618179B6644D}"/>
    <hyperlink ref="N27" r:id="rId30" xr:uid="{A2F3CFCB-97BC-D840-B2B8-2EB8655262E5}"/>
    <hyperlink ref="N25" r:id="rId31" xr:uid="{D804B4D7-17EE-914E-B16E-4614549F86E1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H144"/>
  <sheetViews>
    <sheetView topLeftCell="BF1" zoomScale="113" zoomScaleNormal="75" workbookViewId="0">
      <selection activeCell="BM16" sqref="BM16"/>
    </sheetView>
  </sheetViews>
  <sheetFormatPr baseColWidth="10" defaultRowHeight="14"/>
  <cols>
    <col min="1" max="96" width="10.83203125" style="41"/>
    <col min="97" max="97" width="10.83203125" style="45"/>
    <col min="98" max="142" width="10.83203125" style="41"/>
    <col min="143" max="143" width="10.83203125" style="41" customWidth="1"/>
    <col min="144" max="144" width="10.83203125" style="45"/>
    <col min="145" max="163" width="10.83203125" style="41"/>
    <col min="164" max="164" width="10.83203125" style="45"/>
    <col min="165" max="173" width="10.83203125" style="41"/>
    <col min="174" max="185" width="10.83203125" style="41" customWidth="1"/>
    <col min="186" max="189" width="10.83203125" style="41"/>
    <col min="190" max="190" width="10.83203125" style="45"/>
    <col min="191" max="205" width="10.83203125" style="41"/>
    <col min="206" max="217" width="10.83203125" style="41" customWidth="1"/>
    <col min="218" max="221" width="10.83203125" style="41"/>
    <col min="222" max="222" width="10.83203125" style="45"/>
    <col min="223" max="241" width="10.83203125" style="41"/>
    <col min="242" max="242" width="10.83203125" style="45"/>
    <col min="243" max="261" width="10.83203125" style="41"/>
    <col min="262" max="262" width="10.83203125" style="45"/>
    <col min="263" max="301" width="10.83203125" style="41"/>
    <col min="302" max="302" width="10.83203125" style="45"/>
    <col min="303" max="16384" width="10.83203125" style="41"/>
  </cols>
  <sheetData>
    <row r="1" spans="1:320">
      <c r="A1" s="39" t="s">
        <v>28</v>
      </c>
      <c r="B1" s="41">
        <v>0.25</v>
      </c>
      <c r="D1" s="39" t="s">
        <v>30</v>
      </c>
      <c r="E1" s="41" t="s">
        <v>31</v>
      </c>
      <c r="P1" s="41" t="s">
        <v>75</v>
      </c>
      <c r="CS1" s="43" t="s">
        <v>30</v>
      </c>
      <c r="CT1" s="41" t="s">
        <v>61</v>
      </c>
      <c r="EN1" s="43" t="s">
        <v>30</v>
      </c>
      <c r="EO1" s="41" t="s">
        <v>68</v>
      </c>
      <c r="FH1" s="43" t="s">
        <v>30</v>
      </c>
      <c r="FI1" s="41" t="s">
        <v>294</v>
      </c>
      <c r="GH1" s="43" t="s">
        <v>30</v>
      </c>
      <c r="GI1" s="41" t="s">
        <v>436</v>
      </c>
      <c r="HN1" s="43" t="s">
        <v>30</v>
      </c>
      <c r="HO1" s="41" t="s">
        <v>473</v>
      </c>
      <c r="IH1" s="43" t="s">
        <v>30</v>
      </c>
      <c r="II1" s="41" t="s">
        <v>306</v>
      </c>
      <c r="JB1" s="43" t="s">
        <v>30</v>
      </c>
      <c r="JC1" s="41" t="s">
        <v>307</v>
      </c>
      <c r="KP1" s="43" t="s">
        <v>30</v>
      </c>
      <c r="KQ1" s="41" t="s">
        <v>305</v>
      </c>
    </row>
    <row r="2" spans="1:320">
      <c r="A2" s="39" t="s">
        <v>29</v>
      </c>
      <c r="B2" s="41">
        <v>96</v>
      </c>
      <c r="D2" s="39" t="s">
        <v>32</v>
      </c>
      <c r="E2" s="42" t="s">
        <v>72</v>
      </c>
      <c r="P2" s="41" t="s">
        <v>76</v>
      </c>
      <c r="CS2" s="43" t="s">
        <v>32</v>
      </c>
      <c r="CT2" s="42" t="s">
        <v>60</v>
      </c>
      <c r="EN2" s="43" t="s">
        <v>32</v>
      </c>
      <c r="EO2" s="42" t="s">
        <v>69</v>
      </c>
      <c r="FH2" s="43" t="s">
        <v>32</v>
      </c>
      <c r="FI2" s="42" t="s">
        <v>413</v>
      </c>
      <c r="GH2" s="43" t="s">
        <v>32</v>
      </c>
      <c r="GI2" s="42" t="s">
        <v>431</v>
      </c>
      <c r="HN2" s="43" t="s">
        <v>32</v>
      </c>
      <c r="HO2" s="42" t="s">
        <v>472</v>
      </c>
      <c r="IH2" s="43" t="s">
        <v>32</v>
      </c>
      <c r="II2" s="42" t="s">
        <v>494</v>
      </c>
      <c r="JB2" s="43" t="s">
        <v>32</v>
      </c>
      <c r="JC2" s="42" t="s">
        <v>496</v>
      </c>
      <c r="KP2" s="43" t="s">
        <v>32</v>
      </c>
      <c r="KQ2" s="42" t="s">
        <v>503</v>
      </c>
    </row>
    <row r="3" spans="1:320">
      <c r="A3" s="39" t="s">
        <v>83</v>
      </c>
      <c r="B3" s="41">
        <v>30.5</v>
      </c>
      <c r="D3" s="39" t="s">
        <v>73</v>
      </c>
      <c r="E3" s="41" t="s">
        <v>74</v>
      </c>
      <c r="P3" s="41" t="s">
        <v>82</v>
      </c>
      <c r="CS3" s="43" t="s">
        <v>73</v>
      </c>
      <c r="CT3" s="41" t="s">
        <v>118</v>
      </c>
      <c r="EN3" s="43" t="s">
        <v>143</v>
      </c>
      <c r="EO3" s="42" t="s">
        <v>144</v>
      </c>
      <c r="FH3" s="43"/>
    </row>
    <row r="4" spans="1:320">
      <c r="D4" s="53" t="s">
        <v>130</v>
      </c>
      <c r="CS4" s="44" t="s">
        <v>131</v>
      </c>
      <c r="EN4" s="44"/>
      <c r="FH4" s="44"/>
      <c r="GH4" s="44" t="s">
        <v>437</v>
      </c>
      <c r="GI4" s="42" t="s">
        <v>438</v>
      </c>
      <c r="GK4" s="41" t="s">
        <v>459</v>
      </c>
      <c r="GL4" s="41" t="s">
        <v>456</v>
      </c>
      <c r="GM4" s="41" t="s">
        <v>457</v>
      </c>
      <c r="GN4" s="41" t="s">
        <v>458</v>
      </c>
      <c r="HN4" s="44" t="s">
        <v>477</v>
      </c>
      <c r="HO4" s="42" t="s">
        <v>478</v>
      </c>
      <c r="IH4" s="44" t="s">
        <v>477</v>
      </c>
      <c r="II4" s="42" t="s">
        <v>478</v>
      </c>
      <c r="JB4" s="44" t="s">
        <v>477</v>
      </c>
      <c r="JC4" s="42" t="s">
        <v>478</v>
      </c>
      <c r="KP4" s="44" t="s">
        <v>477</v>
      </c>
      <c r="KQ4" s="42" t="s">
        <v>478</v>
      </c>
    </row>
    <row r="5" spans="1:320">
      <c r="GH5" s="44" t="s">
        <v>447</v>
      </c>
      <c r="GI5" s="42" t="s">
        <v>448</v>
      </c>
      <c r="GK5" s="41" t="s">
        <v>453</v>
      </c>
      <c r="GL5" s="41">
        <f>AVERAGE(0.1213,0.2172,0.2365,0.3239)/100</f>
        <v>2.2472500000000001E-3</v>
      </c>
      <c r="GM5" s="41">
        <f>AVERAGE(0.2613,0.2414,0.2537,0.2888,0.2171,0.1796,0.1764,0.1958)/100</f>
        <v>2.2676250000000001E-3</v>
      </c>
      <c r="GN5" s="41">
        <f>(GL5*4+GM5*8)/12</f>
        <v>2.2608333333333334E-3</v>
      </c>
      <c r="HN5" s="44" t="s">
        <v>474</v>
      </c>
      <c r="HO5" s="42" t="s">
        <v>475</v>
      </c>
      <c r="IH5" s="44" t="s">
        <v>474</v>
      </c>
      <c r="II5" s="42" t="s">
        <v>475</v>
      </c>
      <c r="JB5" s="44" t="s">
        <v>474</v>
      </c>
      <c r="JC5" s="42" t="s">
        <v>475</v>
      </c>
      <c r="KP5" s="44" t="s">
        <v>474</v>
      </c>
      <c r="KQ5" s="42" t="s">
        <v>475</v>
      </c>
    </row>
    <row r="6" spans="1:320">
      <c r="GH6" s="44" t="s">
        <v>460</v>
      </c>
      <c r="GI6" s="42" t="s">
        <v>461</v>
      </c>
      <c r="GK6" s="41" t="s">
        <v>454</v>
      </c>
      <c r="GL6" s="41">
        <f>AVERAGE(0.1906,0.4128,0.2349,0.2801)/100</f>
        <v>2.7959999999999994E-3</v>
      </c>
      <c r="GM6" s="41">
        <f>AVERAGE(0.3673,0.1607,0.134,0.1687,0.1117,0.1659,0.1647,0.2282)/100</f>
        <v>1.8765000000000001E-3</v>
      </c>
      <c r="GN6" s="41">
        <f t="shared" ref="GN6:GN7" si="0">(GL6*4+GM6*8)/12</f>
        <v>2.1829999999999996E-3</v>
      </c>
      <c r="HN6" s="44" t="s">
        <v>476</v>
      </c>
      <c r="IH6" s="44" t="s">
        <v>489</v>
      </c>
      <c r="JB6" s="44" t="s">
        <v>495</v>
      </c>
      <c r="KP6" s="44" t="s">
        <v>495</v>
      </c>
    </row>
    <row r="7" spans="1:320">
      <c r="CG7" s="53" t="s">
        <v>81</v>
      </c>
      <c r="CH7" s="53" t="s">
        <v>108</v>
      </c>
      <c r="FN7" s="53" t="s">
        <v>425</v>
      </c>
      <c r="FO7" s="42" t="s">
        <v>424</v>
      </c>
      <c r="GH7" s="44" t="s">
        <v>441</v>
      </c>
      <c r="GK7" s="41" t="s">
        <v>455</v>
      </c>
      <c r="GL7" s="41">
        <f>AVERAGE(0.1454,0.1498,0.1455,0.2544)/100</f>
        <v>1.7377500000000001E-3</v>
      </c>
      <c r="GM7" s="41">
        <f>AVERAGE(0.2012,0.1687,0.1819,0.1762,0.1521,0.1625,0.0457,0.0569,0.0984)/100</f>
        <v>1.3817777777777782E-3</v>
      </c>
      <c r="GN7" s="41">
        <f t="shared" si="0"/>
        <v>1.5004351851851856E-3</v>
      </c>
    </row>
    <row r="8" spans="1:320">
      <c r="A8" s="53" t="s">
        <v>35</v>
      </c>
      <c r="CG8" s="42" t="s">
        <v>42</v>
      </c>
      <c r="FN8" s="53" t="s">
        <v>426</v>
      </c>
      <c r="FO8" s="42" t="s">
        <v>427</v>
      </c>
    </row>
    <row r="9" spans="1:320">
      <c r="A9" s="39" t="s">
        <v>36</v>
      </c>
      <c r="B9" s="42" t="s">
        <v>38</v>
      </c>
      <c r="E9" s="39" t="s">
        <v>36</v>
      </c>
      <c r="F9" s="42" t="s">
        <v>39</v>
      </c>
      <c r="I9" s="39" t="s">
        <v>36</v>
      </c>
      <c r="J9" s="42" t="s">
        <v>85</v>
      </c>
      <c r="U9" s="39" t="s">
        <v>36</v>
      </c>
      <c r="V9" s="42" t="s">
        <v>95</v>
      </c>
      <c r="Z9" s="39" t="s">
        <v>36</v>
      </c>
      <c r="AA9" s="42" t="s">
        <v>96</v>
      </c>
      <c r="AD9" s="39" t="s">
        <v>36</v>
      </c>
      <c r="AE9" s="42" t="s">
        <v>97</v>
      </c>
      <c r="AP9" s="39" t="s">
        <v>36</v>
      </c>
      <c r="AQ9" s="42" t="s">
        <v>105</v>
      </c>
      <c r="AU9" s="39" t="s">
        <v>36</v>
      </c>
      <c r="AV9" s="42" t="s">
        <v>106</v>
      </c>
      <c r="AY9" s="39" t="s">
        <v>36</v>
      </c>
      <c r="AZ9" s="42" t="s">
        <v>107</v>
      </c>
      <c r="BK9" s="39" t="s">
        <v>36</v>
      </c>
      <c r="BL9" s="42" t="s">
        <v>110</v>
      </c>
      <c r="BP9" s="39" t="s">
        <v>36</v>
      </c>
      <c r="BQ9" s="42" t="s">
        <v>109</v>
      </c>
      <c r="BT9" s="39" t="s">
        <v>36</v>
      </c>
      <c r="BU9" s="42" t="s">
        <v>111</v>
      </c>
      <c r="CF9" s="39" t="s">
        <v>36</v>
      </c>
      <c r="CG9" s="42" t="s">
        <v>41</v>
      </c>
      <c r="CJ9" s="39" t="s">
        <v>36</v>
      </c>
      <c r="CK9" s="46" t="s">
        <v>59</v>
      </c>
      <c r="CN9" s="39" t="s">
        <v>36</v>
      </c>
      <c r="CO9" s="46" t="s">
        <v>79</v>
      </c>
      <c r="CR9" s="39"/>
      <c r="CS9" s="43" t="s">
        <v>36</v>
      </c>
      <c r="CT9" s="46" t="s">
        <v>62</v>
      </c>
      <c r="CX9" s="39" t="s">
        <v>36</v>
      </c>
      <c r="CY9" s="46" t="s">
        <v>67</v>
      </c>
      <c r="DC9" s="39" t="s">
        <v>36</v>
      </c>
      <c r="DD9" s="46" t="s">
        <v>119</v>
      </c>
      <c r="DG9" s="39" t="s">
        <v>36</v>
      </c>
      <c r="DH9" s="46" t="s">
        <v>123</v>
      </c>
      <c r="DL9" s="39" t="s">
        <v>36</v>
      </c>
      <c r="DM9" s="46" t="s">
        <v>126</v>
      </c>
      <c r="DP9" s="39" t="s">
        <v>36</v>
      </c>
      <c r="DQ9" s="46" t="s">
        <v>127</v>
      </c>
      <c r="DU9" s="39" t="s">
        <v>36</v>
      </c>
      <c r="DV9" s="46" t="s">
        <v>132</v>
      </c>
      <c r="DZ9" s="39" t="s">
        <v>36</v>
      </c>
      <c r="EA9" s="46" t="s">
        <v>137</v>
      </c>
      <c r="EE9" s="39" t="s">
        <v>36</v>
      </c>
      <c r="EF9" s="46" t="s">
        <v>134</v>
      </c>
      <c r="EJ9" s="39" t="s">
        <v>36</v>
      </c>
      <c r="EK9" s="46" t="s">
        <v>139</v>
      </c>
      <c r="EN9" s="43" t="s">
        <v>36</v>
      </c>
      <c r="EO9" s="46" t="s">
        <v>141</v>
      </c>
      <c r="EP9" s="42" t="s">
        <v>142</v>
      </c>
      <c r="ES9" s="39" t="s">
        <v>36</v>
      </c>
      <c r="ET9" s="46" t="s">
        <v>150</v>
      </c>
      <c r="EU9" s="42"/>
      <c r="EX9" s="39" t="s">
        <v>36</v>
      </c>
      <c r="EY9" s="46" t="s">
        <v>156</v>
      </c>
      <c r="EZ9" s="42"/>
      <c r="FC9" s="39" t="s">
        <v>36</v>
      </c>
      <c r="FD9" s="47" t="s">
        <v>154</v>
      </c>
      <c r="FG9" s="39"/>
      <c r="FH9" s="43" t="s">
        <v>36</v>
      </c>
      <c r="FI9" s="46" t="s">
        <v>416</v>
      </c>
      <c r="FN9" s="39" t="s">
        <v>36</v>
      </c>
      <c r="FO9" s="46" t="s">
        <v>428</v>
      </c>
      <c r="GH9" s="56" t="s">
        <v>36</v>
      </c>
      <c r="GI9" s="57" t="s">
        <v>440</v>
      </c>
      <c r="GJ9" s="57"/>
      <c r="GK9" s="57"/>
      <c r="GL9" s="55"/>
      <c r="GN9" s="60" t="s">
        <v>36</v>
      </c>
      <c r="GO9" s="57" t="s">
        <v>463</v>
      </c>
      <c r="GP9" s="57"/>
      <c r="GQ9" s="57"/>
      <c r="GR9" s="55"/>
      <c r="GT9" s="39" t="s">
        <v>36</v>
      </c>
      <c r="GU9" s="57" t="s">
        <v>465</v>
      </c>
      <c r="HN9" s="56" t="s">
        <v>36</v>
      </c>
      <c r="HO9" s="42" t="s">
        <v>492</v>
      </c>
      <c r="HP9" s="57"/>
      <c r="HQ9" s="57"/>
      <c r="HR9" s="55"/>
      <c r="IH9" s="56" t="s">
        <v>36</v>
      </c>
      <c r="II9" s="42" t="s">
        <v>491</v>
      </c>
      <c r="IJ9" s="57"/>
      <c r="IK9" s="57"/>
      <c r="IL9" s="55"/>
      <c r="JB9" s="56" t="s">
        <v>36</v>
      </c>
      <c r="JC9" s="42" t="s">
        <v>498</v>
      </c>
      <c r="JD9" s="57"/>
      <c r="JE9" s="57"/>
      <c r="JF9" s="55"/>
      <c r="JV9" s="60" t="s">
        <v>36</v>
      </c>
      <c r="JW9" s="61" t="s">
        <v>502</v>
      </c>
      <c r="JX9" s="57"/>
      <c r="JY9" s="57"/>
      <c r="JZ9" s="55"/>
      <c r="KP9" s="56" t="s">
        <v>36</v>
      </c>
      <c r="KQ9" s="42" t="s">
        <v>505</v>
      </c>
      <c r="KR9" s="57"/>
      <c r="KS9" s="57"/>
      <c r="KT9" s="55"/>
      <c r="KU9" s="60" t="s">
        <v>36</v>
      </c>
      <c r="KV9" s="42" t="s">
        <v>552</v>
      </c>
      <c r="KW9" s="57"/>
      <c r="KX9" s="57"/>
    </row>
    <row r="10" spans="1:320">
      <c r="A10" s="39" t="s">
        <v>43</v>
      </c>
      <c r="B10" s="54">
        <v>44713</v>
      </c>
      <c r="E10" s="39" t="s">
        <v>43</v>
      </c>
      <c r="F10" s="54">
        <v>44713</v>
      </c>
      <c r="I10" s="39" t="s">
        <v>43</v>
      </c>
      <c r="J10" s="54">
        <v>44713</v>
      </c>
      <c r="U10" s="39" t="s">
        <v>43</v>
      </c>
      <c r="V10" s="54">
        <v>44713</v>
      </c>
      <c r="Z10" s="39" t="s">
        <v>43</v>
      </c>
      <c r="AA10" s="54">
        <v>44713</v>
      </c>
      <c r="AD10" s="39" t="s">
        <v>43</v>
      </c>
      <c r="AE10" s="54">
        <v>44713</v>
      </c>
      <c r="AP10" s="39" t="s">
        <v>43</v>
      </c>
      <c r="AQ10" s="54">
        <v>44713</v>
      </c>
      <c r="AU10" s="39" t="s">
        <v>43</v>
      </c>
      <c r="AV10" s="54">
        <v>44713</v>
      </c>
      <c r="AY10" s="39" t="s">
        <v>43</v>
      </c>
      <c r="AZ10" s="54">
        <v>44713</v>
      </c>
      <c r="BK10" s="39" t="s">
        <v>43</v>
      </c>
      <c r="BL10" s="54">
        <v>44713</v>
      </c>
      <c r="BP10" s="39" t="s">
        <v>43</v>
      </c>
      <c r="BQ10" s="54">
        <v>44713</v>
      </c>
      <c r="BT10" s="39" t="s">
        <v>43</v>
      </c>
      <c r="BU10" s="54">
        <v>44713</v>
      </c>
      <c r="CF10" s="39" t="s">
        <v>43</v>
      </c>
      <c r="CG10" s="54">
        <v>44713</v>
      </c>
      <c r="CJ10" s="39" t="s">
        <v>43</v>
      </c>
      <c r="CK10" s="54">
        <v>44713</v>
      </c>
      <c r="CN10" s="39" t="s">
        <v>43</v>
      </c>
      <c r="CO10" s="54">
        <v>44713</v>
      </c>
      <c r="CR10" s="39"/>
      <c r="CS10" s="43" t="s">
        <v>43</v>
      </c>
      <c r="CT10" s="54">
        <v>44713</v>
      </c>
      <c r="CX10" s="39" t="s">
        <v>43</v>
      </c>
      <c r="CY10" s="54">
        <v>44713</v>
      </c>
      <c r="DC10" s="39" t="s">
        <v>43</v>
      </c>
      <c r="DD10" s="54">
        <v>44713</v>
      </c>
      <c r="DG10" s="39" t="s">
        <v>43</v>
      </c>
      <c r="DH10" s="54">
        <v>44713</v>
      </c>
      <c r="DL10" s="39" t="s">
        <v>43</v>
      </c>
      <c r="DM10" s="54">
        <v>44713</v>
      </c>
      <c r="DP10" s="39" t="s">
        <v>43</v>
      </c>
      <c r="DQ10" s="54">
        <v>44713</v>
      </c>
      <c r="DU10" s="39" t="s">
        <v>43</v>
      </c>
      <c r="DV10" s="54">
        <v>44713</v>
      </c>
      <c r="DZ10" s="39" t="s">
        <v>43</v>
      </c>
      <c r="EA10" s="54">
        <v>44713</v>
      </c>
      <c r="EE10" s="39" t="s">
        <v>43</v>
      </c>
      <c r="EF10" s="54">
        <v>44713</v>
      </c>
      <c r="EJ10" s="39" t="s">
        <v>43</v>
      </c>
      <c r="EK10" s="54">
        <v>44713</v>
      </c>
      <c r="EN10" s="43" t="s">
        <v>43</v>
      </c>
      <c r="EO10" s="54">
        <v>44713</v>
      </c>
      <c r="ES10" s="39" t="s">
        <v>43</v>
      </c>
      <c r="ET10" s="54">
        <v>44713</v>
      </c>
      <c r="EX10" s="39" t="s">
        <v>43</v>
      </c>
      <c r="EY10" s="54">
        <v>44713</v>
      </c>
      <c r="FC10" s="39" t="s">
        <v>43</v>
      </c>
      <c r="FD10" s="54">
        <v>44713</v>
      </c>
      <c r="FG10" s="39"/>
      <c r="FH10" s="43" t="s">
        <v>43</v>
      </c>
      <c r="FI10" s="54">
        <v>44713</v>
      </c>
      <c r="FN10" s="39" t="s">
        <v>43</v>
      </c>
      <c r="FO10" s="54">
        <v>44713</v>
      </c>
      <c r="GH10" s="56" t="s">
        <v>43</v>
      </c>
      <c r="GI10" s="58">
        <v>44562</v>
      </c>
      <c r="GJ10" s="55"/>
      <c r="GK10" s="55"/>
      <c r="GL10" s="55"/>
      <c r="GN10" s="60" t="s">
        <v>43</v>
      </c>
      <c r="GO10" s="58">
        <v>44562</v>
      </c>
      <c r="GP10" s="55"/>
      <c r="GQ10" s="55"/>
      <c r="GR10" s="55"/>
      <c r="GT10" s="39" t="s">
        <v>43</v>
      </c>
      <c r="GU10" s="58">
        <v>44562</v>
      </c>
      <c r="HN10" s="56" t="s">
        <v>43</v>
      </c>
      <c r="HO10" s="58">
        <v>43944</v>
      </c>
      <c r="HP10" s="55"/>
      <c r="HQ10" s="55"/>
      <c r="HR10" s="55"/>
      <c r="IH10" s="56" t="s">
        <v>43</v>
      </c>
      <c r="II10" s="58">
        <v>43381</v>
      </c>
      <c r="IJ10" s="55"/>
      <c r="IK10" s="55"/>
      <c r="IL10" s="55"/>
      <c r="JB10" s="56" t="s">
        <v>43</v>
      </c>
      <c r="JC10" s="58">
        <v>44621</v>
      </c>
      <c r="JD10" s="55"/>
      <c r="JE10" s="55"/>
      <c r="JF10" s="55"/>
      <c r="JV10" s="60" t="s">
        <v>43</v>
      </c>
      <c r="JW10" s="58">
        <v>44621</v>
      </c>
      <c r="JX10" s="55"/>
      <c r="JY10" s="55"/>
      <c r="JZ10" s="55"/>
      <c r="KP10" s="56" t="s">
        <v>43</v>
      </c>
      <c r="KQ10" s="58">
        <v>44866</v>
      </c>
      <c r="KR10" s="55"/>
      <c r="KS10" s="55"/>
      <c r="KT10" s="55"/>
      <c r="KU10" s="60" t="s">
        <v>43</v>
      </c>
      <c r="KV10" s="58">
        <v>44866</v>
      </c>
      <c r="KW10" s="55"/>
      <c r="KX10" s="55"/>
    </row>
    <row r="11" spans="1:320">
      <c r="A11" s="39" t="s">
        <v>44</v>
      </c>
      <c r="B11" s="41" t="s">
        <v>45</v>
      </c>
      <c r="E11" s="39" t="s">
        <v>44</v>
      </c>
      <c r="F11" s="41" t="s">
        <v>45</v>
      </c>
      <c r="I11" s="39" t="s">
        <v>44</v>
      </c>
      <c r="J11" s="41" t="s">
        <v>45</v>
      </c>
      <c r="U11" s="39" t="s">
        <v>44</v>
      </c>
      <c r="V11" s="41" t="s">
        <v>45</v>
      </c>
      <c r="Z11" s="39" t="s">
        <v>44</v>
      </c>
      <c r="AA11" s="41" t="s">
        <v>45</v>
      </c>
      <c r="AD11" s="39" t="s">
        <v>44</v>
      </c>
      <c r="AE11" s="41" t="s">
        <v>45</v>
      </c>
      <c r="AP11" s="39" t="s">
        <v>44</v>
      </c>
      <c r="AQ11" s="41" t="s">
        <v>45</v>
      </c>
      <c r="AU11" s="39" t="s">
        <v>44</v>
      </c>
      <c r="AV11" s="41" t="s">
        <v>45</v>
      </c>
      <c r="AY11" s="39" t="s">
        <v>44</v>
      </c>
      <c r="AZ11" s="41" t="s">
        <v>45</v>
      </c>
      <c r="BK11" s="39" t="s">
        <v>44</v>
      </c>
      <c r="BL11" s="41" t="s">
        <v>45</v>
      </c>
      <c r="BP11" s="39" t="s">
        <v>44</v>
      </c>
      <c r="BQ11" s="41" t="s">
        <v>45</v>
      </c>
      <c r="BT11" s="39" t="s">
        <v>44</v>
      </c>
      <c r="BU11" s="41" t="s">
        <v>45</v>
      </c>
      <c r="CF11" s="39" t="s">
        <v>44</v>
      </c>
      <c r="CG11" s="41" t="s">
        <v>45</v>
      </c>
      <c r="CJ11" s="39" t="s">
        <v>44</v>
      </c>
      <c r="CK11" s="41" t="s">
        <v>45</v>
      </c>
      <c r="CN11" s="39" t="s">
        <v>44</v>
      </c>
      <c r="CO11" s="41" t="s">
        <v>45</v>
      </c>
      <c r="CR11" s="39"/>
      <c r="CS11" s="43" t="s">
        <v>44</v>
      </c>
      <c r="CT11" s="41" t="s">
        <v>45</v>
      </c>
      <c r="CX11" s="39" t="s">
        <v>44</v>
      </c>
      <c r="CY11" s="41" t="s">
        <v>45</v>
      </c>
      <c r="DC11" s="39" t="s">
        <v>44</v>
      </c>
      <c r="DD11" s="41" t="s">
        <v>45</v>
      </c>
      <c r="DG11" s="39" t="s">
        <v>44</v>
      </c>
      <c r="DH11" s="41" t="s">
        <v>45</v>
      </c>
      <c r="DL11" s="39" t="s">
        <v>44</v>
      </c>
      <c r="DM11" s="41" t="s">
        <v>45</v>
      </c>
      <c r="DP11" s="39" t="s">
        <v>44</v>
      </c>
      <c r="DQ11" s="41" t="s">
        <v>45</v>
      </c>
      <c r="DU11" s="39" t="s">
        <v>44</v>
      </c>
      <c r="DV11" s="41" t="s">
        <v>45</v>
      </c>
      <c r="DZ11" s="39" t="s">
        <v>44</v>
      </c>
      <c r="EA11" s="41" t="s">
        <v>45</v>
      </c>
      <c r="EE11" s="39" t="s">
        <v>44</v>
      </c>
      <c r="EF11" s="41" t="s">
        <v>45</v>
      </c>
      <c r="EJ11" s="39" t="s">
        <v>44</v>
      </c>
      <c r="EK11" s="41" t="s">
        <v>45</v>
      </c>
      <c r="EN11" s="43" t="s">
        <v>44</v>
      </c>
      <c r="EO11" s="41" t="s">
        <v>45</v>
      </c>
      <c r="ES11" s="39" t="s">
        <v>44</v>
      </c>
      <c r="ET11" s="41" t="s">
        <v>45</v>
      </c>
      <c r="EX11" s="39" t="s">
        <v>44</v>
      </c>
      <c r="EY11" s="41" t="s">
        <v>45</v>
      </c>
      <c r="FC11" s="39" t="s">
        <v>44</v>
      </c>
      <c r="FD11" s="41" t="s">
        <v>45</v>
      </c>
      <c r="FG11" s="39"/>
      <c r="FH11" s="43" t="s">
        <v>44</v>
      </c>
      <c r="FI11" s="41" t="s">
        <v>45</v>
      </c>
      <c r="FN11" s="39" t="s">
        <v>44</v>
      </c>
      <c r="FO11" s="41" t="s">
        <v>418</v>
      </c>
      <c r="GH11" s="56" t="s">
        <v>44</v>
      </c>
      <c r="GI11" s="55" t="s">
        <v>439</v>
      </c>
      <c r="GJ11" s="55"/>
      <c r="GK11" s="55"/>
      <c r="GL11" s="55"/>
      <c r="GM11" s="53"/>
      <c r="GN11" s="60" t="s">
        <v>44</v>
      </c>
      <c r="GO11" s="55" t="s">
        <v>439</v>
      </c>
      <c r="GP11" s="55"/>
      <c r="GQ11" s="55"/>
      <c r="GR11" s="55"/>
      <c r="GT11" s="39" t="s">
        <v>44</v>
      </c>
      <c r="GU11" s="55" t="s">
        <v>439</v>
      </c>
      <c r="HN11" s="56" t="s">
        <v>44</v>
      </c>
      <c r="HO11" s="55" t="s">
        <v>471</v>
      </c>
      <c r="HP11" s="55"/>
      <c r="HQ11" s="55"/>
      <c r="HR11" s="55"/>
      <c r="IH11" s="56" t="s">
        <v>44</v>
      </c>
      <c r="II11" s="55" t="s">
        <v>471</v>
      </c>
      <c r="IJ11" s="55"/>
      <c r="IK11" s="55"/>
      <c r="IL11" s="55"/>
      <c r="JB11" s="56" t="s">
        <v>44</v>
      </c>
      <c r="JC11" s="55" t="s">
        <v>471</v>
      </c>
      <c r="JD11" s="55"/>
      <c r="JE11" s="55"/>
      <c r="JF11" s="55"/>
      <c r="JV11" s="60" t="s">
        <v>44</v>
      </c>
      <c r="JW11" s="55" t="s">
        <v>471</v>
      </c>
      <c r="JX11" s="55"/>
      <c r="JY11" s="55"/>
      <c r="JZ11" s="55"/>
      <c r="KP11" s="56" t="s">
        <v>44</v>
      </c>
      <c r="KQ11" s="55" t="s">
        <v>471</v>
      </c>
      <c r="KR11" s="55"/>
      <c r="KS11" s="55"/>
      <c r="KT11" s="55"/>
      <c r="KU11" s="60" t="s">
        <v>44</v>
      </c>
      <c r="KV11" s="55" t="s">
        <v>471</v>
      </c>
      <c r="KW11" s="55"/>
      <c r="KX11" s="55"/>
    </row>
    <row r="12" spans="1:320">
      <c r="A12" s="39" t="s">
        <v>46</v>
      </c>
      <c r="B12" s="41" t="s">
        <v>47</v>
      </c>
      <c r="E12" s="39" t="s">
        <v>46</v>
      </c>
      <c r="F12" s="41" t="s">
        <v>47</v>
      </c>
      <c r="I12" s="39" t="s">
        <v>46</v>
      </c>
      <c r="J12" s="41" t="s">
        <v>47</v>
      </c>
      <c r="U12" s="39" t="s">
        <v>46</v>
      </c>
      <c r="V12" s="41" t="s">
        <v>102</v>
      </c>
      <c r="Z12" s="39" t="s">
        <v>46</v>
      </c>
      <c r="AA12" s="41" t="s">
        <v>102</v>
      </c>
      <c r="AD12" s="39" t="s">
        <v>46</v>
      </c>
      <c r="AE12" s="41" t="s">
        <v>102</v>
      </c>
      <c r="AP12" s="39" t="s">
        <v>46</v>
      </c>
      <c r="AQ12" s="41" t="s">
        <v>104</v>
      </c>
      <c r="AU12" s="39" t="s">
        <v>46</v>
      </c>
      <c r="AV12" s="41" t="s">
        <v>104</v>
      </c>
      <c r="AY12" s="39" t="s">
        <v>46</v>
      </c>
      <c r="AZ12" s="41" t="s">
        <v>104</v>
      </c>
      <c r="BK12" s="39" t="s">
        <v>46</v>
      </c>
      <c r="BL12" s="41" t="s">
        <v>80</v>
      </c>
      <c r="BP12" s="39" t="s">
        <v>46</v>
      </c>
      <c r="BQ12" s="41" t="s">
        <v>80</v>
      </c>
      <c r="BT12" s="39" t="s">
        <v>46</v>
      </c>
      <c r="BU12" s="41" t="s">
        <v>80</v>
      </c>
      <c r="CF12" s="39" t="s">
        <v>46</v>
      </c>
      <c r="CG12" s="41" t="s">
        <v>47</v>
      </c>
      <c r="CJ12" s="39" t="s">
        <v>46</v>
      </c>
      <c r="CK12" s="41" t="s">
        <v>58</v>
      </c>
      <c r="CN12" s="39" t="s">
        <v>46</v>
      </c>
      <c r="CO12" s="41" t="s">
        <v>80</v>
      </c>
      <c r="CR12" s="39"/>
      <c r="CS12" s="43" t="s">
        <v>46</v>
      </c>
      <c r="CT12" s="41" t="s">
        <v>63</v>
      </c>
      <c r="CX12" s="39" t="s">
        <v>46</v>
      </c>
      <c r="CY12" s="41" t="s">
        <v>66</v>
      </c>
      <c r="DC12" s="39" t="s">
        <v>46</v>
      </c>
      <c r="DD12" s="41" t="s">
        <v>120</v>
      </c>
      <c r="DG12" s="39" t="s">
        <v>46</v>
      </c>
      <c r="DH12" s="41" t="s">
        <v>120</v>
      </c>
      <c r="DL12" s="39" t="s">
        <v>46</v>
      </c>
      <c r="DM12" s="41" t="s">
        <v>120</v>
      </c>
      <c r="DP12" s="39" t="s">
        <v>46</v>
      </c>
      <c r="DQ12" s="41" t="s">
        <v>128</v>
      </c>
      <c r="DU12" s="39" t="s">
        <v>46</v>
      </c>
      <c r="DV12" s="41" t="s">
        <v>135</v>
      </c>
      <c r="DZ12" s="39" t="s">
        <v>46</v>
      </c>
      <c r="EA12" s="41" t="s">
        <v>135</v>
      </c>
      <c r="EE12" s="39" t="s">
        <v>46</v>
      </c>
      <c r="EF12" s="41" t="s">
        <v>136</v>
      </c>
      <c r="EJ12" s="39" t="s">
        <v>46</v>
      </c>
      <c r="EK12" s="41" t="s">
        <v>136</v>
      </c>
      <c r="EN12" s="43" t="s">
        <v>46</v>
      </c>
      <c r="EO12" s="41" t="s">
        <v>140</v>
      </c>
      <c r="ES12" s="39" t="s">
        <v>46</v>
      </c>
      <c r="ET12" s="41" t="s">
        <v>140</v>
      </c>
      <c r="EX12" s="39" t="s">
        <v>46</v>
      </c>
      <c r="EY12" s="41" t="s">
        <v>140</v>
      </c>
      <c r="FC12" s="39" t="s">
        <v>46</v>
      </c>
      <c r="FD12" s="41" t="s">
        <v>151</v>
      </c>
      <c r="FG12" s="39"/>
      <c r="FH12" s="43" t="s">
        <v>46</v>
      </c>
      <c r="FI12" s="41" t="s">
        <v>63</v>
      </c>
      <c r="FN12" s="39" t="s">
        <v>46</v>
      </c>
      <c r="FO12" s="41" t="s">
        <v>66</v>
      </c>
      <c r="GH12" s="56" t="s">
        <v>46</v>
      </c>
      <c r="GI12" s="55" t="s">
        <v>462</v>
      </c>
      <c r="GJ12" s="55"/>
      <c r="GK12" s="55"/>
      <c r="GL12" s="55"/>
      <c r="GN12" s="60" t="s">
        <v>46</v>
      </c>
      <c r="GO12" s="55" t="s">
        <v>462</v>
      </c>
      <c r="GP12" s="55"/>
      <c r="GQ12" s="55"/>
      <c r="GR12" s="55"/>
      <c r="GT12" s="39" t="s">
        <v>46</v>
      </c>
      <c r="GU12" s="55" t="s">
        <v>80</v>
      </c>
      <c r="HN12" s="56" t="s">
        <v>46</v>
      </c>
      <c r="HO12" s="55" t="s">
        <v>483</v>
      </c>
      <c r="HP12" s="55"/>
      <c r="HQ12" s="55"/>
      <c r="HR12" s="55"/>
      <c r="IH12" s="56" t="s">
        <v>46</v>
      </c>
      <c r="II12" s="55" t="s">
        <v>490</v>
      </c>
      <c r="IJ12" s="55"/>
      <c r="IK12" s="55"/>
      <c r="IL12" s="55"/>
      <c r="JB12" s="56" t="s">
        <v>46</v>
      </c>
      <c r="JC12" s="55" t="s">
        <v>499</v>
      </c>
      <c r="JD12" s="55"/>
      <c r="JE12" s="55"/>
      <c r="JF12" s="55"/>
      <c r="JV12" s="60" t="s">
        <v>46</v>
      </c>
      <c r="JW12" s="55" t="s">
        <v>136</v>
      </c>
      <c r="JX12" s="55"/>
      <c r="JY12" s="55"/>
      <c r="JZ12" s="55"/>
      <c r="KP12" s="56" t="s">
        <v>46</v>
      </c>
      <c r="KQ12" s="55" t="s">
        <v>504</v>
      </c>
      <c r="KR12" s="55" t="s">
        <v>509</v>
      </c>
      <c r="KS12" s="55" t="s">
        <v>509</v>
      </c>
      <c r="KT12" s="55"/>
      <c r="KU12" s="60" t="s">
        <v>46</v>
      </c>
      <c r="KV12" s="55" t="s">
        <v>66</v>
      </c>
      <c r="KW12" s="55" t="s">
        <v>509</v>
      </c>
      <c r="KX12" s="55" t="s">
        <v>509</v>
      </c>
    </row>
    <row r="13" spans="1:320">
      <c r="K13" s="53" t="s">
        <v>88</v>
      </c>
      <c r="AF13" s="53" t="s">
        <v>88</v>
      </c>
      <c r="BA13" s="53" t="s">
        <v>88</v>
      </c>
      <c r="BV13" s="53" t="s">
        <v>88</v>
      </c>
      <c r="GH13" s="59"/>
      <c r="GI13" s="55"/>
      <c r="GJ13" s="55" t="s">
        <v>442</v>
      </c>
      <c r="GK13" s="55" t="s">
        <v>452</v>
      </c>
      <c r="GL13" s="55"/>
      <c r="GN13" s="55"/>
      <c r="GO13" s="55"/>
      <c r="GP13" s="55" t="s">
        <v>442</v>
      </c>
      <c r="GQ13" s="55" t="s">
        <v>452</v>
      </c>
      <c r="GR13" s="55"/>
      <c r="HP13" s="55" t="s">
        <v>479</v>
      </c>
      <c r="HQ13" s="55" t="s">
        <v>482</v>
      </c>
      <c r="HR13" s="52">
        <v>44562</v>
      </c>
      <c r="HS13" s="52">
        <v>44593</v>
      </c>
      <c r="HT13" s="52">
        <v>44621</v>
      </c>
      <c r="HU13" s="52">
        <v>44652</v>
      </c>
      <c r="HV13" s="52">
        <v>44682</v>
      </c>
      <c r="HW13" s="52">
        <v>44713</v>
      </c>
      <c r="HX13" s="52">
        <v>44743</v>
      </c>
      <c r="HY13" s="52">
        <v>44774</v>
      </c>
      <c r="HZ13" s="52">
        <v>44805</v>
      </c>
      <c r="IA13" s="52">
        <v>44835</v>
      </c>
      <c r="IB13" s="52">
        <v>44866</v>
      </c>
      <c r="IC13" s="52">
        <v>44531</v>
      </c>
      <c r="ID13" s="41" t="s">
        <v>487</v>
      </c>
      <c r="IE13" s="41" t="s">
        <v>487</v>
      </c>
      <c r="IF13" s="41" t="s">
        <v>487</v>
      </c>
      <c r="IJ13" s="55" t="s">
        <v>479</v>
      </c>
      <c r="IK13" s="55" t="s">
        <v>482</v>
      </c>
      <c r="IL13" s="52">
        <v>44562</v>
      </c>
      <c r="IM13" s="52">
        <v>44593</v>
      </c>
      <c r="IN13" s="52">
        <v>44621</v>
      </c>
      <c r="IO13" s="52">
        <v>44652</v>
      </c>
      <c r="IP13" s="52">
        <v>44682</v>
      </c>
      <c r="IQ13" s="52">
        <v>44713</v>
      </c>
      <c r="IR13" s="52">
        <v>44743</v>
      </c>
      <c r="IS13" s="52">
        <v>44774</v>
      </c>
      <c r="IT13" s="52">
        <v>44805</v>
      </c>
      <c r="IU13" s="52">
        <v>44835</v>
      </c>
      <c r="IV13" s="52">
        <v>44866</v>
      </c>
      <c r="IW13" s="52">
        <v>44531</v>
      </c>
      <c r="IX13" s="41" t="s">
        <v>487</v>
      </c>
      <c r="IY13" s="41" t="s">
        <v>487</v>
      </c>
      <c r="IZ13" s="41" t="s">
        <v>487</v>
      </c>
      <c r="JD13" s="55" t="s">
        <v>501</v>
      </c>
      <c r="JE13" s="55" t="s">
        <v>482</v>
      </c>
      <c r="JF13" s="52">
        <v>44562</v>
      </c>
      <c r="JG13" s="52">
        <v>44593</v>
      </c>
      <c r="JH13" s="52">
        <v>44621</v>
      </c>
      <c r="JI13" s="52">
        <v>44652</v>
      </c>
      <c r="JJ13" s="52">
        <v>44682</v>
      </c>
      <c r="JK13" s="52">
        <v>44713</v>
      </c>
      <c r="JL13" s="52">
        <v>44743</v>
      </c>
      <c r="JM13" s="52">
        <v>44774</v>
      </c>
      <c r="JN13" s="52">
        <v>44805</v>
      </c>
      <c r="JO13" s="52">
        <v>44835</v>
      </c>
      <c r="JP13" s="52">
        <v>44866</v>
      </c>
      <c r="JQ13" s="52">
        <v>44531</v>
      </c>
      <c r="JR13" s="41" t="s">
        <v>487</v>
      </c>
      <c r="JS13" s="41" t="s">
        <v>487</v>
      </c>
      <c r="JT13" s="41" t="s">
        <v>487</v>
      </c>
      <c r="JX13" s="55" t="s">
        <v>501</v>
      </c>
      <c r="JY13" s="55" t="s">
        <v>482</v>
      </c>
      <c r="JZ13" s="52">
        <v>44562</v>
      </c>
      <c r="KA13" s="52">
        <v>44593</v>
      </c>
      <c r="KB13" s="52">
        <v>44621</v>
      </c>
      <c r="KC13" s="52">
        <v>44652</v>
      </c>
      <c r="KD13" s="52">
        <v>44682</v>
      </c>
      <c r="KE13" s="52">
        <v>44713</v>
      </c>
      <c r="KF13" s="52">
        <v>44743</v>
      </c>
      <c r="KG13" s="52">
        <v>44774</v>
      </c>
      <c r="KH13" s="52">
        <v>44805</v>
      </c>
      <c r="KI13" s="52">
        <v>44835</v>
      </c>
      <c r="KJ13" s="52">
        <v>44866</v>
      </c>
      <c r="KK13" s="52">
        <v>44531</v>
      </c>
      <c r="KL13" s="41" t="s">
        <v>487</v>
      </c>
      <c r="KM13" s="41" t="s">
        <v>487</v>
      </c>
      <c r="KN13" s="41" t="s">
        <v>487</v>
      </c>
      <c r="KR13" s="55" t="s">
        <v>507</v>
      </c>
      <c r="KS13" s="55" t="s">
        <v>508</v>
      </c>
      <c r="KT13" s="52"/>
      <c r="KW13" s="55" t="s">
        <v>507</v>
      </c>
      <c r="KX13" s="55" t="s">
        <v>508</v>
      </c>
      <c r="KY13" s="52"/>
      <c r="KZ13" s="52"/>
      <c r="LA13" s="52"/>
      <c r="LB13" s="52"/>
      <c r="LC13" s="52"/>
      <c r="LD13" s="52"/>
      <c r="LE13" s="52"/>
    </row>
    <row r="14" spans="1:320">
      <c r="A14" s="39" t="s">
        <v>48</v>
      </c>
      <c r="B14" s="39" t="s">
        <v>49</v>
      </c>
      <c r="C14" s="39" t="s">
        <v>51</v>
      </c>
      <c r="E14" s="39" t="s">
        <v>48</v>
      </c>
      <c r="F14" s="39" t="s">
        <v>49</v>
      </c>
      <c r="G14" s="39" t="s">
        <v>51</v>
      </c>
      <c r="I14" s="39" t="s">
        <v>48</v>
      </c>
      <c r="J14" s="39" t="s">
        <v>49</v>
      </c>
      <c r="K14" s="39" t="s">
        <v>86</v>
      </c>
      <c r="L14" s="39" t="s">
        <v>87</v>
      </c>
      <c r="M14" s="39" t="s">
        <v>52</v>
      </c>
      <c r="N14" s="39" t="s">
        <v>112</v>
      </c>
      <c r="O14" s="39" t="s">
        <v>89</v>
      </c>
      <c r="P14" s="39" t="s">
        <v>90</v>
      </c>
      <c r="Q14" s="39" t="s">
        <v>91</v>
      </c>
      <c r="R14" s="39" t="s">
        <v>92</v>
      </c>
      <c r="S14" s="39" t="s">
        <v>93</v>
      </c>
      <c r="T14" s="39"/>
      <c r="U14" s="39" t="s">
        <v>48</v>
      </c>
      <c r="V14" s="39" t="s">
        <v>49</v>
      </c>
      <c r="W14" s="39" t="s">
        <v>51</v>
      </c>
      <c r="Z14" s="39" t="s">
        <v>48</v>
      </c>
      <c r="AA14" s="39" t="s">
        <v>49</v>
      </c>
      <c r="AB14" s="39" t="s">
        <v>51</v>
      </c>
      <c r="AD14" s="39" t="s">
        <v>48</v>
      </c>
      <c r="AE14" s="39" t="s">
        <v>49</v>
      </c>
      <c r="AF14" s="39" t="s">
        <v>86</v>
      </c>
      <c r="AG14" s="39" t="s">
        <v>87</v>
      </c>
      <c r="AH14" s="39" t="s">
        <v>52</v>
      </c>
      <c r="AI14" s="39" t="s">
        <v>112</v>
      </c>
      <c r="AJ14" s="39" t="s">
        <v>89</v>
      </c>
      <c r="AK14" s="39" t="s">
        <v>90</v>
      </c>
      <c r="AL14" s="39" t="s">
        <v>91</v>
      </c>
      <c r="AM14" s="39" t="s">
        <v>92</v>
      </c>
      <c r="AN14" s="39" t="s">
        <v>93</v>
      </c>
      <c r="AP14" s="39" t="s">
        <v>48</v>
      </c>
      <c r="AQ14" s="39" t="s">
        <v>49</v>
      </c>
      <c r="AR14" s="39" t="s">
        <v>51</v>
      </c>
      <c r="AU14" s="39" t="s">
        <v>48</v>
      </c>
      <c r="AV14" s="39" t="s">
        <v>49</v>
      </c>
      <c r="AW14" s="39" t="s">
        <v>51</v>
      </c>
      <c r="AY14" s="39" t="s">
        <v>48</v>
      </c>
      <c r="AZ14" s="39" t="s">
        <v>49</v>
      </c>
      <c r="BA14" s="39" t="s">
        <v>86</v>
      </c>
      <c r="BB14" s="39" t="s">
        <v>87</v>
      </c>
      <c r="BC14" s="39" t="s">
        <v>52</v>
      </c>
      <c r="BD14" s="39" t="s">
        <v>112</v>
      </c>
      <c r="BE14" s="39" t="s">
        <v>89</v>
      </c>
      <c r="BF14" s="39" t="s">
        <v>90</v>
      </c>
      <c r="BG14" s="39" t="s">
        <v>91</v>
      </c>
      <c r="BH14" s="39" t="s">
        <v>92</v>
      </c>
      <c r="BI14" s="39" t="s">
        <v>93</v>
      </c>
      <c r="BK14" s="39" t="s">
        <v>48</v>
      </c>
      <c r="BL14" s="39" t="s">
        <v>49</v>
      </c>
      <c r="BM14" s="39" t="s">
        <v>51</v>
      </c>
      <c r="BP14" s="39" t="s">
        <v>48</v>
      </c>
      <c r="BQ14" s="39" t="s">
        <v>49</v>
      </c>
      <c r="BR14" s="39" t="s">
        <v>51</v>
      </c>
      <c r="BT14" s="39" t="s">
        <v>48</v>
      </c>
      <c r="BU14" s="39" t="s">
        <v>49</v>
      </c>
      <c r="BV14" s="39" t="s">
        <v>86</v>
      </c>
      <c r="BW14" s="39" t="s">
        <v>87</v>
      </c>
      <c r="BX14" s="39" t="s">
        <v>52</v>
      </c>
      <c r="BY14" s="39" t="s">
        <v>112</v>
      </c>
      <c r="BZ14" s="39" t="s">
        <v>89</v>
      </c>
      <c r="CA14" s="39" t="s">
        <v>90</v>
      </c>
      <c r="CB14" s="39" t="s">
        <v>91</v>
      </c>
      <c r="CC14" s="39" t="s">
        <v>92</v>
      </c>
      <c r="CD14" s="39" t="s">
        <v>93</v>
      </c>
      <c r="CE14" s="39"/>
      <c r="CF14" s="39" t="s">
        <v>48</v>
      </c>
      <c r="CG14" s="39" t="s">
        <v>49</v>
      </c>
      <c r="CH14" s="39" t="s">
        <v>51</v>
      </c>
      <c r="CJ14" s="39" t="s">
        <v>48</v>
      </c>
      <c r="CK14" s="39" t="s">
        <v>49</v>
      </c>
      <c r="CL14" s="39" t="s">
        <v>51</v>
      </c>
      <c r="CN14" s="39" t="s">
        <v>48</v>
      </c>
      <c r="CO14" s="39" t="s">
        <v>49</v>
      </c>
      <c r="CP14" s="39" t="s">
        <v>51</v>
      </c>
      <c r="CR14" s="39"/>
      <c r="CS14" s="43" t="s">
        <v>48</v>
      </c>
      <c r="CT14" s="39" t="s">
        <v>49</v>
      </c>
      <c r="CU14" s="39" t="s">
        <v>64</v>
      </c>
      <c r="CX14" s="39" t="s">
        <v>48</v>
      </c>
      <c r="CY14" s="39" t="s">
        <v>49</v>
      </c>
      <c r="CZ14" s="39" t="s">
        <v>64</v>
      </c>
      <c r="DC14" s="39" t="s">
        <v>48</v>
      </c>
      <c r="DD14" s="39" t="s">
        <v>49</v>
      </c>
      <c r="DE14" s="39" t="s">
        <v>50</v>
      </c>
      <c r="DG14" s="39" t="s">
        <v>48</v>
      </c>
      <c r="DH14" s="39" t="s">
        <v>49</v>
      </c>
      <c r="DI14" s="39" t="s">
        <v>50</v>
      </c>
      <c r="DL14" s="39" t="s">
        <v>48</v>
      </c>
      <c r="DM14" s="39" t="s">
        <v>49</v>
      </c>
      <c r="DN14" s="39" t="s">
        <v>50</v>
      </c>
      <c r="DP14" s="39" t="s">
        <v>48</v>
      </c>
      <c r="DQ14" s="39" t="s">
        <v>49</v>
      </c>
      <c r="DR14" s="39" t="s">
        <v>50</v>
      </c>
      <c r="DU14" s="39" t="s">
        <v>48</v>
      </c>
      <c r="DV14" s="39" t="s">
        <v>49</v>
      </c>
      <c r="DW14" s="39" t="s">
        <v>50</v>
      </c>
      <c r="DZ14" s="39" t="s">
        <v>48</v>
      </c>
      <c r="EA14" s="39" t="s">
        <v>49</v>
      </c>
      <c r="EB14" s="39" t="s">
        <v>50</v>
      </c>
      <c r="EE14" s="39" t="s">
        <v>48</v>
      </c>
      <c r="EF14" s="39" t="s">
        <v>49</v>
      </c>
      <c r="EG14" s="39" t="s">
        <v>50</v>
      </c>
      <c r="EJ14" s="39" t="s">
        <v>48</v>
      </c>
      <c r="EK14" s="39" t="s">
        <v>49</v>
      </c>
      <c r="EL14" s="39" t="s">
        <v>50</v>
      </c>
      <c r="EN14" s="43" t="s">
        <v>48</v>
      </c>
      <c r="EO14" s="39" t="s">
        <v>49</v>
      </c>
      <c r="EP14" s="39" t="s">
        <v>51</v>
      </c>
      <c r="ES14" s="39" t="s">
        <v>48</v>
      </c>
      <c r="ET14" s="39" t="s">
        <v>49</v>
      </c>
      <c r="EU14" s="39" t="s">
        <v>51</v>
      </c>
      <c r="EX14" s="39" t="s">
        <v>48</v>
      </c>
      <c r="EY14" s="39" t="s">
        <v>49</v>
      </c>
      <c r="EZ14" s="39" t="s">
        <v>51</v>
      </c>
      <c r="FC14" s="39" t="s">
        <v>48</v>
      </c>
      <c r="FD14" s="39" t="s">
        <v>49</v>
      </c>
      <c r="FE14" s="39" t="s">
        <v>51</v>
      </c>
      <c r="FG14" s="39"/>
      <c r="FH14" s="43" t="s">
        <v>48</v>
      </c>
      <c r="FI14" s="39" t="s">
        <v>49</v>
      </c>
      <c r="FJ14" s="39" t="s">
        <v>414</v>
      </c>
      <c r="FK14" s="39" t="s">
        <v>415</v>
      </c>
      <c r="FL14" s="39" t="s">
        <v>64</v>
      </c>
      <c r="FR14" s="52">
        <v>44562</v>
      </c>
      <c r="FS14" s="52">
        <v>44593</v>
      </c>
      <c r="FT14" s="52">
        <v>44621</v>
      </c>
      <c r="FU14" s="52">
        <v>44652</v>
      </c>
      <c r="FV14" s="52">
        <v>44682</v>
      </c>
      <c r="FW14" s="52">
        <v>44713</v>
      </c>
      <c r="FX14" s="52">
        <v>44743</v>
      </c>
      <c r="FY14" s="52">
        <v>44774</v>
      </c>
      <c r="FZ14" s="52">
        <v>44805</v>
      </c>
      <c r="GA14" s="52">
        <v>44835</v>
      </c>
      <c r="GB14" s="52">
        <v>44866</v>
      </c>
      <c r="GC14" s="52">
        <v>44531</v>
      </c>
      <c r="GH14" s="56" t="s">
        <v>48</v>
      </c>
      <c r="GI14" s="60" t="s">
        <v>49</v>
      </c>
      <c r="GJ14" s="60" t="s">
        <v>432</v>
      </c>
      <c r="GK14" s="60" t="s">
        <v>449</v>
      </c>
      <c r="GL14" s="60" t="s">
        <v>50</v>
      </c>
      <c r="GN14" s="60" t="s">
        <v>48</v>
      </c>
      <c r="GO14" s="60" t="s">
        <v>49</v>
      </c>
      <c r="GP14" s="60" t="s">
        <v>432</v>
      </c>
      <c r="GQ14" s="60" t="s">
        <v>449</v>
      </c>
      <c r="GR14" s="60" t="s">
        <v>50</v>
      </c>
      <c r="GV14" s="55" t="s">
        <v>442</v>
      </c>
      <c r="GW14" s="55" t="s">
        <v>467</v>
      </c>
      <c r="GX14" s="52">
        <v>44562</v>
      </c>
      <c r="GY14" s="52">
        <v>44593</v>
      </c>
      <c r="GZ14" s="52">
        <v>44621</v>
      </c>
      <c r="HA14" s="52">
        <v>44652</v>
      </c>
      <c r="HB14" s="52">
        <v>44682</v>
      </c>
      <c r="HC14" s="52">
        <v>44713</v>
      </c>
      <c r="HD14" s="52">
        <v>44743</v>
      </c>
      <c r="HE14" s="52">
        <v>44774</v>
      </c>
      <c r="HF14" s="52">
        <v>44805</v>
      </c>
      <c r="HG14" s="52">
        <v>44835</v>
      </c>
      <c r="HH14" s="52">
        <v>44866</v>
      </c>
      <c r="HI14" s="52">
        <v>44531</v>
      </c>
      <c r="HN14" s="43" t="s">
        <v>48</v>
      </c>
      <c r="HO14" s="39" t="s">
        <v>49</v>
      </c>
      <c r="HP14" s="39" t="s">
        <v>432</v>
      </c>
      <c r="HQ14" s="39" t="s">
        <v>464</v>
      </c>
      <c r="HR14" s="39" t="s">
        <v>481</v>
      </c>
      <c r="HS14" s="39" t="s">
        <v>481</v>
      </c>
      <c r="HT14" s="39" t="s">
        <v>481</v>
      </c>
      <c r="HU14" s="39" t="s">
        <v>481</v>
      </c>
      <c r="HV14" s="39" t="s">
        <v>481</v>
      </c>
      <c r="HW14" s="39" t="s">
        <v>481</v>
      </c>
      <c r="HX14" s="39" t="s">
        <v>481</v>
      </c>
      <c r="HY14" s="39" t="s">
        <v>481</v>
      </c>
      <c r="HZ14" s="39" t="s">
        <v>481</v>
      </c>
      <c r="IA14" s="39" t="s">
        <v>481</v>
      </c>
      <c r="IB14" s="39" t="s">
        <v>481</v>
      </c>
      <c r="IC14" s="39" t="s">
        <v>481</v>
      </c>
      <c r="ID14" s="39" t="s">
        <v>433</v>
      </c>
      <c r="IE14" s="39" t="s">
        <v>434</v>
      </c>
      <c r="IF14" s="39" t="s">
        <v>435</v>
      </c>
      <c r="IH14" s="43" t="s">
        <v>48</v>
      </c>
      <c r="II14" s="39" t="s">
        <v>49</v>
      </c>
      <c r="IJ14" s="39" t="s">
        <v>432</v>
      </c>
      <c r="IK14" s="39" t="s">
        <v>464</v>
      </c>
      <c r="IL14" s="39" t="s">
        <v>488</v>
      </c>
      <c r="IM14" s="39" t="s">
        <v>488</v>
      </c>
      <c r="IN14" s="39" t="s">
        <v>488</v>
      </c>
      <c r="IO14" s="39" t="s">
        <v>488</v>
      </c>
      <c r="IP14" s="39" t="s">
        <v>488</v>
      </c>
      <c r="IQ14" s="39" t="s">
        <v>488</v>
      </c>
      <c r="IR14" s="39" t="s">
        <v>488</v>
      </c>
      <c r="IS14" s="39" t="s">
        <v>488</v>
      </c>
      <c r="IT14" s="39" t="s">
        <v>488</v>
      </c>
      <c r="IU14" s="39" t="s">
        <v>488</v>
      </c>
      <c r="IV14" s="39" t="s">
        <v>488</v>
      </c>
      <c r="IW14" s="39" t="s">
        <v>488</v>
      </c>
      <c r="IX14" s="39" t="s">
        <v>433</v>
      </c>
      <c r="IY14" s="39" t="s">
        <v>434</v>
      </c>
      <c r="IZ14" s="39" t="s">
        <v>435</v>
      </c>
      <c r="JB14" s="43" t="s">
        <v>48</v>
      </c>
      <c r="JC14" s="39" t="s">
        <v>49</v>
      </c>
      <c r="JD14" s="39" t="s">
        <v>432</v>
      </c>
      <c r="JE14" s="39" t="s">
        <v>464</v>
      </c>
      <c r="JF14" s="39" t="s">
        <v>497</v>
      </c>
      <c r="JG14" s="39" t="s">
        <v>497</v>
      </c>
      <c r="JH14" s="39" t="s">
        <v>497</v>
      </c>
      <c r="JI14" s="39" t="s">
        <v>497</v>
      </c>
      <c r="JJ14" s="39" t="s">
        <v>497</v>
      </c>
      <c r="JK14" s="39" t="s">
        <v>497</v>
      </c>
      <c r="JL14" s="39" t="s">
        <v>497</v>
      </c>
      <c r="JM14" s="39" t="s">
        <v>497</v>
      </c>
      <c r="JN14" s="39" t="s">
        <v>497</v>
      </c>
      <c r="JO14" s="39" t="s">
        <v>497</v>
      </c>
      <c r="JP14" s="39" t="s">
        <v>497</v>
      </c>
      <c r="JQ14" s="39" t="s">
        <v>497</v>
      </c>
      <c r="JR14" s="39" t="s">
        <v>433</v>
      </c>
      <c r="JS14" s="39" t="s">
        <v>434</v>
      </c>
      <c r="JT14" s="39" t="s">
        <v>435</v>
      </c>
      <c r="JV14" s="39" t="s">
        <v>48</v>
      </c>
      <c r="JW14" s="39" t="s">
        <v>49</v>
      </c>
      <c r="JX14" s="39" t="s">
        <v>432</v>
      </c>
      <c r="JY14" s="39" t="s">
        <v>464</v>
      </c>
      <c r="JZ14" s="39" t="s">
        <v>497</v>
      </c>
      <c r="KA14" s="39" t="s">
        <v>497</v>
      </c>
      <c r="KB14" s="39" t="s">
        <v>497</v>
      </c>
      <c r="KC14" s="39" t="s">
        <v>497</v>
      </c>
      <c r="KD14" s="39" t="s">
        <v>497</v>
      </c>
      <c r="KE14" s="39" t="s">
        <v>497</v>
      </c>
      <c r="KF14" s="39" t="s">
        <v>497</v>
      </c>
      <c r="KG14" s="39" t="s">
        <v>497</v>
      </c>
      <c r="KH14" s="39" t="s">
        <v>497</v>
      </c>
      <c r="KI14" s="39" t="s">
        <v>497</v>
      </c>
      <c r="KJ14" s="39" t="s">
        <v>497</v>
      </c>
      <c r="KK14" s="39" t="s">
        <v>497</v>
      </c>
      <c r="KL14" s="39" t="s">
        <v>433</v>
      </c>
      <c r="KM14" s="39" t="s">
        <v>434</v>
      </c>
      <c r="KN14" s="39" t="s">
        <v>435</v>
      </c>
      <c r="KP14" s="43" t="s">
        <v>48</v>
      </c>
      <c r="KQ14" s="39" t="s">
        <v>49</v>
      </c>
      <c r="KR14" s="39" t="s">
        <v>64</v>
      </c>
      <c r="KS14" s="39" t="s">
        <v>64</v>
      </c>
      <c r="KT14" s="39"/>
      <c r="KU14" s="39" t="s">
        <v>48</v>
      </c>
      <c r="KV14" s="39" t="s">
        <v>49</v>
      </c>
      <c r="KW14" s="39" t="s">
        <v>64</v>
      </c>
      <c r="KX14" s="39" t="s">
        <v>64</v>
      </c>
      <c r="KY14" s="39"/>
      <c r="KZ14" s="39"/>
      <c r="LA14" s="39"/>
      <c r="LB14" s="39"/>
      <c r="LC14" s="39"/>
      <c r="LD14" s="39"/>
      <c r="LE14" s="39"/>
      <c r="LF14" s="39"/>
      <c r="LG14" s="39"/>
      <c r="LH14" s="39"/>
    </row>
    <row r="15" spans="1:320">
      <c r="A15" s="41">
        <v>0</v>
      </c>
      <c r="B15" s="41">
        <v>0</v>
      </c>
      <c r="C15" s="41">
        <f>0.11979+0.09496</f>
        <v>0.21475</v>
      </c>
      <c r="E15" s="41">
        <v>0</v>
      </c>
      <c r="F15" s="41">
        <v>0</v>
      </c>
      <c r="G15" s="41">
        <f>0.04699+0.0664</f>
        <v>0.11338999999999999</v>
      </c>
      <c r="I15" s="41">
        <v>0</v>
      </c>
      <c r="J15" s="41">
        <f t="shared" ref="J15:J38" si="1">I15/ts</f>
        <v>0</v>
      </c>
      <c r="K15" s="41">
        <f>0.04699</f>
        <v>4.6989999999999997E-2</v>
      </c>
      <c r="L15" s="41">
        <f>0.04699</f>
        <v>4.6989999999999997E-2</v>
      </c>
      <c r="M15" s="41">
        <v>8.2449999999999996E-2</v>
      </c>
      <c r="N15" s="41">
        <v>8.3409999999999998E-2</v>
      </c>
      <c r="O15" s="41">
        <v>7.9430000000000001E-2</v>
      </c>
      <c r="P15" s="41">
        <v>8.4690000000000001E-2</v>
      </c>
      <c r="Q15" s="41">
        <v>8.029E-2</v>
      </c>
      <c r="R15" s="41">
        <v>8.1320000000000003E-2</v>
      </c>
      <c r="S15" s="41">
        <v>8.1390000000000004E-2</v>
      </c>
      <c r="U15" s="41">
        <v>0</v>
      </c>
      <c r="V15" s="41">
        <v>0</v>
      </c>
      <c r="W15" s="41">
        <f>0.10633+0.06525</f>
        <v>0.17158000000000001</v>
      </c>
      <c r="Z15" s="41">
        <v>0</v>
      </c>
      <c r="AA15" s="41">
        <v>0</v>
      </c>
      <c r="AB15" s="41">
        <f>0.04605+0.06525</f>
        <v>0.11130000000000001</v>
      </c>
      <c r="AD15" s="41">
        <v>0</v>
      </c>
      <c r="AE15" s="41">
        <f t="shared" ref="AE15:AE38" si="2">AD15/ts</f>
        <v>0</v>
      </c>
      <c r="AF15" s="41">
        <f>0.04605</f>
        <v>4.6050000000000001E-2</v>
      </c>
      <c r="AG15" s="41">
        <f>0.04605</f>
        <v>4.6050000000000001E-2</v>
      </c>
      <c r="AH15" s="41">
        <v>7.8140000000000001E-2</v>
      </c>
      <c r="AI15" s="41">
        <v>7.9060000000000005E-2</v>
      </c>
      <c r="AJ15" s="41">
        <v>7.528E-2</v>
      </c>
      <c r="AK15" s="41">
        <v>8.0269999999999994E-2</v>
      </c>
      <c r="AL15" s="41">
        <v>7.6090000000000005E-2</v>
      </c>
      <c r="AM15" s="41">
        <v>7.707E-2</v>
      </c>
      <c r="AN15" s="41">
        <v>7.714E-2</v>
      </c>
      <c r="AP15" s="41">
        <v>0</v>
      </c>
      <c r="AQ15" s="41">
        <v>0</v>
      </c>
      <c r="AR15" s="41">
        <f>0.09674+0.0612</f>
        <v>0.15794</v>
      </c>
      <c r="AU15" s="41">
        <v>0</v>
      </c>
      <c r="AV15" s="41">
        <v>0</v>
      </c>
      <c r="AW15" s="41">
        <f>0.04277+0.0612</f>
        <v>0.10397000000000001</v>
      </c>
      <c r="AY15" s="41">
        <v>0</v>
      </c>
      <c r="AZ15" s="41">
        <f t="shared" ref="AZ15:AZ38" si="3">AY15/ts</f>
        <v>0</v>
      </c>
      <c r="BA15" s="41">
        <v>4.2770000000000002E-2</v>
      </c>
      <c r="BB15" s="41">
        <v>4.2770000000000002E-2</v>
      </c>
      <c r="BC15" s="41">
        <v>7.2900000000000006E-2</v>
      </c>
      <c r="BD15" s="41">
        <v>7.3760000000000006E-2</v>
      </c>
      <c r="BE15" s="41">
        <v>7.0239999999999997E-2</v>
      </c>
      <c r="BF15" s="41">
        <v>7.4889999999999998E-2</v>
      </c>
      <c r="BG15" s="41">
        <v>7.0989999999999998E-2</v>
      </c>
      <c r="BH15" s="41">
        <v>7.1910000000000002E-2</v>
      </c>
      <c r="BI15" s="41">
        <v>7.1970000000000006E-2</v>
      </c>
      <c r="BK15" s="41">
        <v>0</v>
      </c>
      <c r="BL15" s="41">
        <v>0</v>
      </c>
      <c r="BM15" s="41">
        <f>0.04025+0.05516</f>
        <v>9.5409999999999995E-2</v>
      </c>
      <c r="BP15" s="41">
        <v>0</v>
      </c>
      <c r="BQ15" s="41">
        <v>0</v>
      </c>
      <c r="BR15" s="41">
        <f>0.08809+0.05516</f>
        <v>0.14324999999999999</v>
      </c>
      <c r="BT15" s="41">
        <v>0</v>
      </c>
      <c r="BU15" s="41">
        <f t="shared" ref="BU15:BU38" si="4">BT15/ts</f>
        <v>0</v>
      </c>
      <c r="BV15" s="41">
        <v>4.0250000000000001E-2</v>
      </c>
      <c r="BW15" s="41">
        <v>4.0250000000000001E-2</v>
      </c>
      <c r="BX15" s="41">
        <v>6.762E-2</v>
      </c>
      <c r="BY15" s="41">
        <v>6.8409999999999999E-2</v>
      </c>
      <c r="BZ15" s="41">
        <v>6.515E-2</v>
      </c>
      <c r="CA15" s="41">
        <v>6.9459999999999994E-2</v>
      </c>
      <c r="CB15" s="41">
        <v>6.5850000000000006E-2</v>
      </c>
      <c r="CC15" s="41">
        <v>6.6699999999999995E-2</v>
      </c>
      <c r="CD15" s="41">
        <v>6.6750000000000004E-2</v>
      </c>
      <c r="CE15" s="41">
        <f>BW15+CB15</f>
        <v>0.1061</v>
      </c>
      <c r="CF15" s="41">
        <v>0</v>
      </c>
      <c r="CG15" s="41">
        <f>CF15/ts</f>
        <v>0</v>
      </c>
      <c r="CH15" s="41">
        <f>0.09451+0.10587</f>
        <v>0.20038</v>
      </c>
      <c r="CJ15" s="41">
        <v>0</v>
      </c>
      <c r="CK15" s="41">
        <f>CJ15/ts</f>
        <v>0</v>
      </c>
      <c r="CL15" s="41">
        <f>0.09596+0.07992</f>
        <v>0.17588000000000001</v>
      </c>
      <c r="CN15" s="41">
        <v>0</v>
      </c>
      <c r="CO15" s="41">
        <f>CN15/ts</f>
        <v>0</v>
      </c>
      <c r="CP15" s="41">
        <f>0.07922+0.06719</f>
        <v>0.14640999999999998</v>
      </c>
      <c r="CS15" s="45">
        <v>0</v>
      </c>
      <c r="CT15" s="41">
        <f>CS15/$B$1</f>
        <v>0</v>
      </c>
      <c r="CU15" s="41">
        <v>0.17518</v>
      </c>
      <c r="CX15" s="41">
        <v>0</v>
      </c>
      <c r="CY15" s="41">
        <f>CX15/$B$1</f>
        <v>0</v>
      </c>
      <c r="CZ15" s="41">
        <v>0.16824</v>
      </c>
      <c r="DC15" s="41">
        <v>0</v>
      </c>
      <c r="DD15" s="41">
        <f>DC15/$B$1</f>
        <v>0</v>
      </c>
      <c r="DE15" s="41">
        <v>0.31824000000000002</v>
      </c>
      <c r="DG15" s="41">
        <v>0</v>
      </c>
      <c r="DH15" s="41">
        <f>DG15/$B$1</f>
        <v>0</v>
      </c>
      <c r="DI15" s="41">
        <v>0.26021</v>
      </c>
      <c r="DL15" s="41">
        <v>0</v>
      </c>
      <c r="DM15" s="41">
        <f>DL15/$B$1</f>
        <v>0</v>
      </c>
      <c r="DN15" s="41">
        <v>0.29966999999999999</v>
      </c>
      <c r="DP15" s="41">
        <v>0</v>
      </c>
      <c r="DQ15" s="41">
        <f>DP15/$B$1</f>
        <v>0</v>
      </c>
      <c r="DR15" s="41">
        <v>0.21984999999999999</v>
      </c>
      <c r="DU15" s="41">
        <v>0</v>
      </c>
      <c r="DV15" s="41">
        <f>DU15/$B$1</f>
        <v>0</v>
      </c>
      <c r="DW15" s="41">
        <v>0.13245999999999999</v>
      </c>
      <c r="DZ15" s="41">
        <v>0</v>
      </c>
      <c r="EA15" s="41">
        <f>DZ15/$B$1</f>
        <v>0</v>
      </c>
      <c r="EB15" s="41">
        <v>0.16511999999999999</v>
      </c>
      <c r="EE15" s="41">
        <v>0</v>
      </c>
      <c r="EF15" s="41">
        <f>EE15/$B$1</f>
        <v>0</v>
      </c>
      <c r="EG15" s="41">
        <v>0.12692999999999999</v>
      </c>
      <c r="EJ15" s="41">
        <v>0</v>
      </c>
      <c r="EK15" s="41">
        <f>EJ15/$B$1</f>
        <v>0</v>
      </c>
      <c r="EL15" s="41">
        <v>0.14482</v>
      </c>
      <c r="EN15" s="45">
        <v>0</v>
      </c>
      <c r="EO15" s="41">
        <f>EN15/$B$1</f>
        <v>0</v>
      </c>
      <c r="EP15" s="41">
        <v>0.10635</v>
      </c>
      <c r="ES15" s="41">
        <v>0</v>
      </c>
      <c r="ET15" s="41">
        <f>ES15/$B$1</f>
        <v>0</v>
      </c>
      <c r="EU15" s="41">
        <v>0.11038000000000001</v>
      </c>
      <c r="EX15" s="41">
        <v>0</v>
      </c>
      <c r="EY15" s="41">
        <f>EX15/$B$1</f>
        <v>0</v>
      </c>
      <c r="EZ15" s="41">
        <v>0.10097</v>
      </c>
      <c r="FC15" s="41">
        <v>0</v>
      </c>
      <c r="FD15" s="41">
        <f>FC15/$B$1</f>
        <v>0</v>
      </c>
      <c r="FE15" s="41">
        <f>0.12729+0.06544</f>
        <v>0.19272999999999998</v>
      </c>
      <c r="FH15" s="45">
        <v>0</v>
      </c>
      <c r="FI15" s="41">
        <f>FH15/$B$1</f>
        <v>0</v>
      </c>
      <c r="FJ15" s="41">
        <f>-0.0006+0.00203</f>
        <v>1.4300000000000003E-3</v>
      </c>
      <c r="FK15" s="41">
        <v>3.4729999999999997E-2</v>
      </c>
      <c r="FL15" s="41">
        <f>SUM(FJ15:FK15)</f>
        <v>3.6159999999999998E-2</v>
      </c>
      <c r="FN15" s="39" t="s">
        <v>48</v>
      </c>
      <c r="FO15" s="39" t="s">
        <v>49</v>
      </c>
      <c r="FP15" s="39" t="s">
        <v>429</v>
      </c>
      <c r="FQ15" s="39" t="s">
        <v>430</v>
      </c>
      <c r="FR15" s="39" t="s">
        <v>419</v>
      </c>
      <c r="FS15" s="39" t="s">
        <v>419</v>
      </c>
      <c r="FT15" s="39" t="s">
        <v>419</v>
      </c>
      <c r="FU15" s="39" t="s">
        <v>419</v>
      </c>
      <c r="FV15" s="39" t="s">
        <v>419</v>
      </c>
      <c r="FW15" s="39" t="s">
        <v>419</v>
      </c>
      <c r="FX15" s="39" t="s">
        <v>419</v>
      </c>
      <c r="FY15" s="39" t="s">
        <v>419</v>
      </c>
      <c r="FZ15" s="39" t="s">
        <v>419</v>
      </c>
      <c r="GA15" s="39" t="s">
        <v>419</v>
      </c>
      <c r="GB15" s="39" t="s">
        <v>419</v>
      </c>
      <c r="GC15" s="39" t="s">
        <v>419</v>
      </c>
      <c r="GD15" s="39" t="s">
        <v>433</v>
      </c>
      <c r="GE15" s="39" t="s">
        <v>434</v>
      </c>
      <c r="GF15" s="39" t="s">
        <v>435</v>
      </c>
      <c r="GH15" s="59">
        <v>0</v>
      </c>
      <c r="GI15" s="55">
        <v>0</v>
      </c>
      <c r="GJ15" s="55">
        <f>0.00957+0.001234+0.000047-0.000001+0+0.0049+0.0001+0.00604+0.021</f>
        <v>4.2889999999999998E-2</v>
      </c>
      <c r="GK15" s="55">
        <f>0.083887+0.001346+0.001264+0.003757+0.000068+0.00224725+0.002796+0.00173775</f>
        <v>9.7103000000000009E-2</v>
      </c>
      <c r="GL15" s="55">
        <f>SUM(GJ15:GK15)</f>
        <v>0.13999300000000001</v>
      </c>
      <c r="GN15" s="55">
        <v>0</v>
      </c>
      <c r="GO15" s="55">
        <f>GN15/$B$1</f>
        <v>0</v>
      </c>
      <c r="GP15" s="55">
        <f>0.0079+0.001234+0.000047-0.000001+0+0.0049+0.0001+0.00604+0.021</f>
        <v>4.1220000000000007E-2</v>
      </c>
      <c r="GQ15" s="55">
        <f>0.06862+0.001346+0.001264+0.003757+0.000068+0.00224725+0.002796+0.00173775</f>
        <v>8.1836000000000006E-2</v>
      </c>
      <c r="GR15" s="55">
        <f>SUM(GP15:GQ15)</f>
        <v>0.12305600000000001</v>
      </c>
      <c r="GT15" s="39" t="s">
        <v>48</v>
      </c>
      <c r="GU15" s="39" t="s">
        <v>49</v>
      </c>
      <c r="GV15" s="39" t="s">
        <v>432</v>
      </c>
      <c r="GW15" s="39" t="s">
        <v>464</v>
      </c>
      <c r="GX15" s="39" t="s">
        <v>466</v>
      </c>
      <c r="GY15" s="39" t="s">
        <v>466</v>
      </c>
      <c r="GZ15" s="39" t="s">
        <v>466</v>
      </c>
      <c r="HA15" s="39" t="s">
        <v>466</v>
      </c>
      <c r="HB15" s="39" t="s">
        <v>466</v>
      </c>
      <c r="HC15" s="39" t="s">
        <v>466</v>
      </c>
      <c r="HD15" s="39" t="s">
        <v>466</v>
      </c>
      <c r="HE15" s="39" t="s">
        <v>466</v>
      </c>
      <c r="HF15" s="39" t="s">
        <v>466</v>
      </c>
      <c r="HG15" s="39" t="s">
        <v>466</v>
      </c>
      <c r="HH15" s="39" t="s">
        <v>466</v>
      </c>
      <c r="HI15" s="39" t="s">
        <v>466</v>
      </c>
      <c r="HJ15" s="39" t="s">
        <v>433</v>
      </c>
      <c r="HK15" s="39" t="s">
        <v>434</v>
      </c>
      <c r="HL15" s="39" t="s">
        <v>435</v>
      </c>
      <c r="HN15" s="45">
        <v>0</v>
      </c>
      <c r="HO15" s="41">
        <f>HN15/$B$1</f>
        <v>0</v>
      </c>
      <c r="HP15" s="55">
        <f>0.000735</f>
        <v>7.3499999999999998E-4</v>
      </c>
      <c r="HQ15" s="55">
        <f>7.25/1000</f>
        <v>7.2500000000000004E-3</v>
      </c>
      <c r="HR15" s="41">
        <f>26.2515476190476/(1000)</f>
        <v>2.6251547619047598E-2</v>
      </c>
      <c r="HS15" s="41">
        <f>30.7255/(1000)</f>
        <v>3.0725499999999999E-2</v>
      </c>
      <c r="HT15" s="41">
        <f>47.3519565217391/(1000)</f>
        <v>4.7351956521739097E-2</v>
      </c>
      <c r="HU15" s="41">
        <f>41.0045238095238/(1000)</f>
        <v>4.1004523809523803E-2</v>
      </c>
      <c r="HV15" s="41">
        <f>64.3859090909091/(1000)</f>
        <v>6.4385909090909091E-2</v>
      </c>
      <c r="HW15" s="41">
        <f>62.8925/(1000)</f>
        <v>6.2892500000000004E-2</v>
      </c>
      <c r="HX15" s="41">
        <f>54.5927380952381/(1000)</f>
        <v>5.4592738095238097E-2</v>
      </c>
      <c r="HY15" s="41">
        <f>68.6947826086957/(1000)</f>
        <v>6.8694782608695701E-2</v>
      </c>
      <c r="HZ15" s="41">
        <f>52.6688636363636/(1000)</f>
        <v>5.2668863636363597E-2</v>
      </c>
      <c r="IA15" s="41">
        <f>37.9226190476191/(1000)</f>
        <v>3.7922619047619101E-2</v>
      </c>
      <c r="IB15" s="41">
        <f>30.2448958333333/(1000)</f>
        <v>3.0244895833333299E-2</v>
      </c>
      <c r="IC15" s="41">
        <f>24.5942391304348/(1000)</f>
        <v>2.4594239130434802E-2</v>
      </c>
      <c r="ID15" s="41">
        <f>SUM(HP15:HQ15)+AVERAGE(HW15:HZ15)*125%</f>
        <v>8.2625276356342939E-2</v>
      </c>
      <c r="IE15" s="41">
        <f>SUM(HP15:HQ15)+AVERAGE(HR15:HV15,IA15:IC15)*125%</f>
        <v>5.5247686101969812E-2</v>
      </c>
      <c r="IF15" s="41">
        <f>SUM(HP15:HQ15)+AVERAGE(HR15:IC15)*125%</f>
        <v>6.4373549520094192E-2</v>
      </c>
      <c r="IH15" s="45">
        <v>0</v>
      </c>
      <c r="II15" s="41">
        <f>IH15/$B$1</f>
        <v>0</v>
      </c>
      <c r="IJ15" s="55">
        <f>0.000637</f>
        <v>6.3699999999999998E-4</v>
      </c>
      <c r="IK15" s="55">
        <f>7.25/1000</f>
        <v>7.2500000000000004E-3</v>
      </c>
      <c r="IL15" s="41">
        <f>27.1084523809524/(1000)</f>
        <v>2.71084523809524E-2</v>
      </c>
      <c r="IM15" s="41">
        <f>28.51975/(1000)</f>
        <v>2.851975E-2</v>
      </c>
      <c r="IN15" s="41">
        <f>36.8984782608696/(1000)</f>
        <v>3.6898478260869602E-2</v>
      </c>
      <c r="IO15" s="41">
        <f>38.0346428571429/(1000)</f>
        <v>3.8034642857142899E-2</v>
      </c>
      <c r="IP15" s="41">
        <f>59.54125/(1000)</f>
        <v>5.9541249999999997E-2</v>
      </c>
      <c r="IQ15" s="41">
        <f>58.1765909090909/(1000)</f>
        <v>5.81765909090909E-2</v>
      </c>
      <c r="IR15" s="41">
        <f>55.0476190476191/(1000)</f>
        <v>5.5047619047619102E-2</v>
      </c>
      <c r="IS15" s="41">
        <f>68.7686956521739/(1000)</f>
        <v>6.8768695652173903E-2</v>
      </c>
      <c r="IT15" s="41">
        <f>52.2269318181818/(1000)</f>
        <v>5.2226931818181797E-2</v>
      </c>
      <c r="IU15" s="41">
        <f>35.9059523809524/(1000)</f>
        <v>3.5905952380952399E-2</v>
      </c>
      <c r="IV15" s="41">
        <f>29.083125/(1000)</f>
        <v>2.9083124999999998E-2</v>
      </c>
      <c r="IW15" s="41">
        <f>22.5525/(1000)</f>
        <v>2.25525E-2</v>
      </c>
      <c r="IX15" s="41">
        <f>SUM(IJ15:IK15)+AVERAGE(IQ15:IT15)*125%</f>
        <v>8.1080699195958048E-2</v>
      </c>
      <c r="IY15" s="41">
        <f>SUM(IJ15:IK15)+AVERAGE(IL15:IP15,IU15:IW15)*125%</f>
        <v>5.1268898574987072E-2</v>
      </c>
      <c r="IZ15" s="41">
        <f>SUM(IJ15:IK15)+AVERAGE(IL15:IW15)*125%</f>
        <v>6.1206165448644059E-2</v>
      </c>
      <c r="JB15" s="45">
        <v>0</v>
      </c>
      <c r="JC15" s="41">
        <f>JB15/$B$1</f>
        <v>0</v>
      </c>
      <c r="JD15" s="55">
        <v>4.1340000000000002E-2</v>
      </c>
      <c r="JE15" s="55">
        <f>7.25/1000</f>
        <v>7.2500000000000004E-3</v>
      </c>
      <c r="JF15" s="41">
        <f>26.1711904761905/(1000)</f>
        <v>2.6171190476190501E-2</v>
      </c>
      <c r="JG15" s="41">
        <f>23.74125/(1000)</f>
        <v>2.3741250000000002E-2</v>
      </c>
      <c r="JH15" s="41">
        <f>36.4138043478261/(1000)</f>
        <v>3.6413804347826102E-2</v>
      </c>
      <c r="JI15" s="41">
        <f>37.6959523809524/(1000)</f>
        <v>3.7695952380952399E-2</v>
      </c>
      <c r="JJ15" s="41">
        <f>58.7506818181818/(1000)</f>
        <v>5.8750681818181806E-2</v>
      </c>
      <c r="JK15" s="41">
        <f>58.0361363636364/(1000)</f>
        <v>5.8036136363636401E-2</v>
      </c>
      <c r="JL15" s="41">
        <f>55.3546428571429/(1000)</f>
        <v>5.5354642857142901E-2</v>
      </c>
      <c r="JM15" s="41">
        <f>69.1388043478261/(1000)</f>
        <v>6.9138804347826099E-2</v>
      </c>
      <c r="JN15" s="41">
        <f>53.1076136363636/(1000)</f>
        <v>5.3107613636363606E-2</v>
      </c>
      <c r="JO15" s="41">
        <f>36.8810714285714/(1000)</f>
        <v>3.6881071428571402E-2</v>
      </c>
      <c r="JP15" s="41">
        <f>30.9539583333333/(1000)</f>
        <v>3.0953958333333302E-2</v>
      </c>
      <c r="JQ15" s="41">
        <f>19.7610869565217/(1000)</f>
        <v>1.9761086956521703E-2</v>
      </c>
      <c r="JR15" s="41">
        <f>SUM(JD15:JE15)+AVERAGE(JK15:JN15)*125%</f>
        <v>0.1222266241265528</v>
      </c>
      <c r="JS15" s="41">
        <f>SUM(JD15:JE15)+AVERAGE(JF15:JJ15,JO15:JQ15)*125%</f>
        <v>9.0835155584621435E-2</v>
      </c>
      <c r="JT15" s="41">
        <f>SUM(JD15:JE15)+AVERAGE(JF15:JQ15)*125%</f>
        <v>0.10129897843193189</v>
      </c>
      <c r="JV15" s="41">
        <v>0</v>
      </c>
      <c r="JW15" s="41">
        <f>JV15/$B$1</f>
        <v>0</v>
      </c>
      <c r="JX15" s="55">
        <f>0.03531</f>
        <v>3.5310000000000001E-2</v>
      </c>
      <c r="JY15" s="55">
        <f>7.25/1000</f>
        <v>7.2500000000000004E-3</v>
      </c>
      <c r="JZ15" s="41">
        <f>26.1711904761905/(1000)</f>
        <v>2.6171190476190501E-2</v>
      </c>
      <c r="KA15" s="41">
        <f>23.74125/(1000)</f>
        <v>2.3741250000000002E-2</v>
      </c>
      <c r="KB15" s="41">
        <f>36.4138043478261/(1000)</f>
        <v>3.6413804347826102E-2</v>
      </c>
      <c r="KC15" s="41">
        <f>37.6959523809524/(1000)</f>
        <v>3.7695952380952399E-2</v>
      </c>
      <c r="KD15" s="41">
        <f>58.7506818181818/(1000)</f>
        <v>5.8750681818181806E-2</v>
      </c>
      <c r="KE15" s="41">
        <f>58.0361363636364/(1000)</f>
        <v>5.8036136363636401E-2</v>
      </c>
      <c r="KF15" s="41">
        <f>55.3546428571429/(1000)</f>
        <v>5.5354642857142901E-2</v>
      </c>
      <c r="KG15" s="41">
        <f>69.1388043478261/(1000)</f>
        <v>6.9138804347826099E-2</v>
      </c>
      <c r="KH15" s="41">
        <f>53.1076136363636/(1000)</f>
        <v>5.3107613636363606E-2</v>
      </c>
      <c r="KI15" s="41">
        <f>36.8810714285714/(1000)</f>
        <v>3.6881071428571402E-2</v>
      </c>
      <c r="KJ15" s="41">
        <f>30.9539583333333/(1000)</f>
        <v>3.0953958333333302E-2</v>
      </c>
      <c r="KK15" s="41">
        <f>19.7610869565217/(1000)</f>
        <v>1.9761086956521703E-2</v>
      </c>
      <c r="KL15" s="41">
        <f>SUM(JX15:JY15)+AVERAGE(KE15:KH15)*125%</f>
        <v>0.11619662412655281</v>
      </c>
      <c r="KM15" s="41">
        <f>SUM(JX15:JY15)+AVERAGE(JZ15:KD15,KI15:KK15)*125%</f>
        <v>8.4805155584621428E-2</v>
      </c>
      <c r="KN15" s="41">
        <f>SUM(JX15:JY15)+AVERAGE(JZ15:KK15)*125%</f>
        <v>9.5268978431931897E-2</v>
      </c>
      <c r="KP15" s="45">
        <v>0</v>
      </c>
      <c r="KQ15" s="41">
        <f>KP15/$B$1</f>
        <v>0</v>
      </c>
      <c r="KR15" s="55">
        <f>0.01955+0.04371+0.00058+0.00124+0.00238+0.01491</f>
        <v>8.2369999999999999E-2</v>
      </c>
      <c r="KS15" s="55">
        <f>0.01902+0.04371+0.00058+0+0.00238+0.01491</f>
        <v>8.0600000000000005E-2</v>
      </c>
      <c r="KU15" s="41">
        <v>0</v>
      </c>
      <c r="KV15" s="41">
        <f>KU15/$B$1</f>
        <v>0</v>
      </c>
      <c r="KW15" s="55">
        <f>0+0.04371+0.00058+0.00124+0.00238+0.01491</f>
        <v>6.2819999999999987E-2</v>
      </c>
      <c r="KX15" s="55">
        <f>0+0.04371+0.00058+0+0.00238+0.01491</f>
        <v>6.1579999999999996E-2</v>
      </c>
    </row>
    <row r="16" spans="1:320">
      <c r="A16" s="41">
        <v>16</v>
      </c>
      <c r="B16" s="41">
        <v>64</v>
      </c>
      <c r="C16" s="41">
        <f>0.18194+0.37528</f>
        <v>0.55722000000000005</v>
      </c>
      <c r="E16" s="41">
        <v>16</v>
      </c>
      <c r="F16" s="41">
        <v>64</v>
      </c>
      <c r="G16" s="41">
        <f>0.08218+0.11278</f>
        <v>0.19496000000000002</v>
      </c>
      <c r="I16" s="41">
        <v>1</v>
      </c>
      <c r="J16" s="41">
        <f t="shared" si="1"/>
        <v>4</v>
      </c>
      <c r="K16" s="41">
        <f t="shared" ref="K16:L30" si="5">0.04699</f>
        <v>4.6989999999999997E-2</v>
      </c>
      <c r="L16" s="41">
        <f t="shared" si="5"/>
        <v>4.6989999999999997E-2</v>
      </c>
      <c r="M16" s="41">
        <v>7.9960000000000003E-2</v>
      </c>
      <c r="N16" s="41">
        <v>8.0439999999999998E-2</v>
      </c>
      <c r="O16" s="41">
        <v>7.7469999999999997E-2</v>
      </c>
      <c r="P16" s="41">
        <v>8.405E-2</v>
      </c>
      <c r="Q16" s="41">
        <v>7.8899999999999998E-2</v>
      </c>
      <c r="R16" s="41">
        <v>7.9920000000000005E-2</v>
      </c>
      <c r="S16" s="41">
        <v>7.9920000000000005E-2</v>
      </c>
      <c r="U16" s="41">
        <v>16</v>
      </c>
      <c r="V16" s="41">
        <v>64</v>
      </c>
      <c r="W16" s="41">
        <f>0.25235+0.42201</f>
        <v>0.67436000000000007</v>
      </c>
      <c r="Z16" s="41">
        <v>16</v>
      </c>
      <c r="AA16" s="41">
        <v>64</v>
      </c>
      <c r="AB16" s="41">
        <f>0.04605+0.1116</f>
        <v>0.15765000000000001</v>
      </c>
      <c r="AD16" s="41">
        <v>1</v>
      </c>
      <c r="AE16" s="41">
        <f t="shared" si="2"/>
        <v>4</v>
      </c>
      <c r="AF16" s="41">
        <f t="shared" ref="AF16:AG38" si="6">0.04605</f>
        <v>4.6050000000000001E-2</v>
      </c>
      <c r="AG16" s="41">
        <f t="shared" si="6"/>
        <v>4.6050000000000001E-2</v>
      </c>
      <c r="AH16" s="41">
        <v>7.578E-2</v>
      </c>
      <c r="AI16" s="41">
        <v>7.6240000000000002E-2</v>
      </c>
      <c r="AJ16" s="41">
        <v>7.3419999999999999E-2</v>
      </c>
      <c r="AK16" s="41">
        <v>7.9659999999999995E-2</v>
      </c>
      <c r="AL16" s="41">
        <v>7.4779999999999999E-2</v>
      </c>
      <c r="AM16" s="41">
        <v>7.5740000000000002E-2</v>
      </c>
      <c r="AN16" s="41">
        <v>7.5740000000000002E-2</v>
      </c>
      <c r="AP16" s="41">
        <v>16</v>
      </c>
      <c r="AQ16" s="41">
        <v>64</v>
      </c>
      <c r="AR16" s="41">
        <f>0.23834+0.37031</f>
        <v>0.60864999999999991</v>
      </c>
      <c r="AU16" s="41">
        <v>16</v>
      </c>
      <c r="AV16" s="41">
        <v>64</v>
      </c>
      <c r="AW16" s="41">
        <f>0.04277+0.10353</f>
        <v>0.14629999999999999</v>
      </c>
      <c r="AY16" s="41">
        <v>1</v>
      </c>
      <c r="AZ16" s="41">
        <f t="shared" si="3"/>
        <v>4</v>
      </c>
      <c r="BA16" s="41">
        <v>4.2770000000000002E-2</v>
      </c>
      <c r="BB16" s="41">
        <v>4.2770000000000002E-2</v>
      </c>
      <c r="BC16" s="41">
        <v>7.0699999999999999E-2</v>
      </c>
      <c r="BD16" s="41">
        <v>7.1129999999999999E-2</v>
      </c>
      <c r="BE16" s="41">
        <v>6.8500000000000005E-2</v>
      </c>
      <c r="BF16" s="41">
        <v>7.4319999999999997E-2</v>
      </c>
      <c r="BG16" s="41">
        <v>6.9769999999999999E-2</v>
      </c>
      <c r="BH16" s="41">
        <v>7.0660000000000001E-2</v>
      </c>
      <c r="BI16" s="41">
        <v>7.0660000000000001E-2</v>
      </c>
      <c r="BK16" s="41">
        <v>16</v>
      </c>
      <c r="BL16" s="41">
        <v>64</v>
      </c>
      <c r="BM16" s="41">
        <f>0.04025+0.09641</f>
        <v>0.13666</v>
      </c>
      <c r="BP16" s="41">
        <v>16</v>
      </c>
      <c r="BQ16" s="41">
        <v>64</v>
      </c>
      <c r="BR16" s="41">
        <f>0.21929+0.37959</f>
        <v>0.59887999999999997</v>
      </c>
      <c r="BT16" s="41">
        <v>1</v>
      </c>
      <c r="BU16" s="41">
        <f t="shared" si="4"/>
        <v>4</v>
      </c>
      <c r="BV16" s="41">
        <v>4.0250000000000001E-2</v>
      </c>
      <c r="BW16" s="41">
        <v>4.0250000000000001E-2</v>
      </c>
      <c r="BX16" s="41">
        <v>6.5579999999999999E-2</v>
      </c>
      <c r="BY16" s="41">
        <v>6.5979999999999997E-2</v>
      </c>
      <c r="BZ16" s="41">
        <v>6.3539999999999999E-2</v>
      </c>
      <c r="CA16" s="41">
        <v>6.8940000000000001E-2</v>
      </c>
      <c r="CB16" s="41">
        <v>6.4710000000000004E-2</v>
      </c>
      <c r="CC16" s="41">
        <v>6.5540000000000001E-2</v>
      </c>
      <c r="CD16" s="41">
        <v>6.5540000000000001E-2</v>
      </c>
      <c r="CE16" s="41">
        <f t="shared" ref="CE16:CE38" si="7">BW16+CB16</f>
        <v>0.10496</v>
      </c>
      <c r="CF16" s="41">
        <v>16</v>
      </c>
      <c r="CG16" s="41">
        <f>CF16/ts</f>
        <v>64</v>
      </c>
      <c r="CH16" s="41">
        <f>0.28607+0.28146</f>
        <v>0.56752999999999998</v>
      </c>
      <c r="CJ16" s="41">
        <v>16</v>
      </c>
      <c r="CK16" s="41">
        <f>CJ16/ts</f>
        <v>64</v>
      </c>
      <c r="CL16" s="41">
        <f>0.29298+0.38111</f>
        <v>0.67409000000000008</v>
      </c>
      <c r="CN16" s="41">
        <v>16</v>
      </c>
      <c r="CO16" s="41">
        <f>CN16/ts</f>
        <v>64</v>
      </c>
      <c r="CP16" s="41">
        <f>0.24768+0.34363</f>
        <v>0.59131</v>
      </c>
      <c r="CS16" s="45">
        <v>9</v>
      </c>
      <c r="CT16" s="41">
        <f>CS16/$B$1</f>
        <v>36</v>
      </c>
      <c r="CU16" s="41">
        <v>0.14852000000000001</v>
      </c>
      <c r="CX16" s="41">
        <v>9</v>
      </c>
      <c r="CY16" s="41">
        <f>CX16/$B$1</f>
        <v>36</v>
      </c>
      <c r="CZ16" s="41">
        <v>0.14496999999999999</v>
      </c>
      <c r="DC16" s="41">
        <v>14</v>
      </c>
      <c r="DD16" s="41">
        <f>DC16/$B$1</f>
        <v>56</v>
      </c>
      <c r="DE16" s="41">
        <v>0.33904000000000001</v>
      </c>
      <c r="DG16" s="41">
        <v>14</v>
      </c>
      <c r="DH16" s="41">
        <f>DG16/$B$1</f>
        <v>56</v>
      </c>
      <c r="DI16" s="41">
        <v>0.30753999999999998</v>
      </c>
      <c r="DL16" s="41">
        <v>16</v>
      </c>
      <c r="DM16" s="41">
        <f>DL16/$B$1</f>
        <v>64</v>
      </c>
      <c r="DN16" s="41">
        <v>0.41760000000000003</v>
      </c>
      <c r="DP16" s="41">
        <v>14</v>
      </c>
      <c r="DQ16" s="41">
        <f>DP16/$B$1</f>
        <v>56</v>
      </c>
      <c r="DR16" s="41">
        <v>0.25241999999999998</v>
      </c>
      <c r="DU16" s="41">
        <v>14</v>
      </c>
      <c r="DV16" s="41">
        <f>DU16/$B$1</f>
        <v>56</v>
      </c>
      <c r="DW16" s="41">
        <v>0.15878</v>
      </c>
      <c r="DZ16" s="41">
        <v>14</v>
      </c>
      <c r="EA16" s="41">
        <f>DZ16/$B$1</f>
        <v>56</v>
      </c>
      <c r="EB16" s="41">
        <v>0.22559000000000001</v>
      </c>
      <c r="EE16" s="41">
        <v>14</v>
      </c>
      <c r="EF16" s="41">
        <f>EE16/$B$1</f>
        <v>56</v>
      </c>
      <c r="EG16" s="41">
        <v>0.15332999999999999</v>
      </c>
      <c r="EJ16" s="41">
        <v>14</v>
      </c>
      <c r="EK16" s="41">
        <f>EJ16/$B$1</f>
        <v>56</v>
      </c>
      <c r="EL16" s="41">
        <v>0.20385</v>
      </c>
      <c r="EN16" s="45">
        <v>6</v>
      </c>
      <c r="EO16" s="41">
        <f>EN16/$B$1</f>
        <v>24</v>
      </c>
      <c r="EP16" s="41">
        <v>0.11207</v>
      </c>
      <c r="ES16" s="41">
        <v>6</v>
      </c>
      <c r="ET16" s="41">
        <f>ES16/$B$1</f>
        <v>24</v>
      </c>
      <c r="EU16" s="41">
        <v>0.11501</v>
      </c>
      <c r="EX16" s="41">
        <v>6</v>
      </c>
      <c r="EY16" s="41">
        <f>EX16/$B$1</f>
        <v>24</v>
      </c>
      <c r="EZ16" s="41">
        <v>0.10442</v>
      </c>
      <c r="FC16" s="41">
        <v>6</v>
      </c>
      <c r="FD16" s="41">
        <f>FC16/$B$1</f>
        <v>24</v>
      </c>
      <c r="FE16" s="41">
        <f>0.12729+0.11656</f>
        <v>0.24384999999999998</v>
      </c>
      <c r="FH16" s="45">
        <v>6</v>
      </c>
      <c r="FI16" s="41">
        <f>FH16/$B$1</f>
        <v>24</v>
      </c>
      <c r="FJ16" s="41">
        <f t="shared" ref="FJ16:FJ18" si="8">-0.0006+0.00203</f>
        <v>1.4300000000000003E-3</v>
      </c>
      <c r="FK16" s="41">
        <v>5.9740000000000001E-2</v>
      </c>
      <c r="FL16" s="41">
        <f t="shared" ref="FL16:FL18" si="9">SUM(FJ16:FK16)</f>
        <v>6.1170000000000002E-2</v>
      </c>
      <c r="FN16" s="41">
        <v>0</v>
      </c>
      <c r="FO16" s="41">
        <f>FN16/$B$1</f>
        <v>0</v>
      </c>
      <c r="FP16" s="41">
        <f>-0.0006+0.00203</f>
        <v>1.4300000000000003E-3</v>
      </c>
      <c r="FQ16" s="41">
        <v>1.149E-2</v>
      </c>
      <c r="FR16" s="41">
        <f>55.7135606666667/(1000)</f>
        <v>5.5713560666666703E-2</v>
      </c>
      <c r="FS16" s="41">
        <f>45.1025449/(1000)</f>
        <v>4.5102544899999999E-2</v>
      </c>
      <c r="FT16" s="41">
        <f>35.9723365652174/(1000)</f>
        <v>3.5972336565217394E-2</v>
      </c>
      <c r="FU16" s="41">
        <f>50.7716894285714/(1000)</f>
        <v>5.0771689428571402E-2</v>
      </c>
      <c r="FV16" s="41">
        <f>53.8634062727273/(1000)</f>
        <v>5.3863406272727302E-2</v>
      </c>
      <c r="FW16" s="41">
        <f>58.7297733181818/(1000)</f>
        <v>5.8729773318181799E-2</v>
      </c>
      <c r="FX16" s="41">
        <f>66.531828/(1000)</f>
        <v>6.6531828000000001E-2</v>
      </c>
      <c r="FY16" s="41">
        <f>73.3823392608696/(1000)</f>
        <v>7.3382339260869595E-2</v>
      </c>
      <c r="FZ16" s="41">
        <f>56.4186451363636/(1000)</f>
        <v>5.6418645136363604E-2</v>
      </c>
      <c r="GA16" s="41">
        <f>39.4097736666667/(1000)</f>
        <v>3.9409773666666703E-2</v>
      </c>
      <c r="GB16" s="41">
        <f>36.4282995217391/(1000)</f>
        <v>3.6428299521739101E-2</v>
      </c>
      <c r="GC16" s="41">
        <f>30.1120772608696/(1000)</f>
        <v>3.0112077260869601E-2</v>
      </c>
      <c r="GD16" s="41">
        <f>SUM(FP16:FQ16)+AVERAGE(FW16:FZ16)</f>
        <v>7.6685646428853754E-2</v>
      </c>
      <c r="GE16" s="41">
        <f>SUM(FP16:FQ16)+AVERAGE(FR16:FV16,GA16:GC16)</f>
        <v>5.6341711035307281E-2</v>
      </c>
      <c r="GF16" s="41">
        <f>SUM(FP16:FQ16)+AVERAGE(FR16:GC16)</f>
        <v>6.3123022833156101E-2</v>
      </c>
      <c r="GH16" s="59" t="s">
        <v>443</v>
      </c>
      <c r="GI16" s="55" t="s">
        <v>445</v>
      </c>
      <c r="GJ16" s="55">
        <f>31.13+0.16+0.2+0.36+0.01+2.37</f>
        <v>34.229999999999997</v>
      </c>
      <c r="GK16" s="55">
        <f>GJ16/mo</f>
        <v>1.1222950819672131</v>
      </c>
      <c r="GL16" s="55"/>
      <c r="GN16" s="41">
        <v>8</v>
      </c>
      <c r="GO16" s="55">
        <f t="shared" ref="GO16:GO17" si="10">GN16/$B$1</f>
        <v>32</v>
      </c>
      <c r="GP16" s="55">
        <f t="shared" ref="GP16:GP17" si="11">0.0079+0.001234+0.000047-0.000001+0+0.0049+0.0001+0.00604+0.021</f>
        <v>4.1220000000000007E-2</v>
      </c>
      <c r="GQ16" s="55">
        <f>0.099597+0.001346+0.001264+0.003757+0.000068+0.00224725+0.002796+0.00173775</f>
        <v>0.11281300000000001</v>
      </c>
      <c r="GR16" s="55">
        <f t="shared" ref="GR16:GR17" si="12">SUM(GP16:GQ16)</f>
        <v>0.15403300000000003</v>
      </c>
      <c r="GT16" s="41">
        <v>0</v>
      </c>
      <c r="GU16" s="41">
        <f>GT16/$B$1</f>
        <v>0</v>
      </c>
      <c r="GV16" s="55">
        <f>0.00957+0.001234+0.000047-0.000001+0+0.0049+0.0001+0.00604+0.021</f>
        <v>4.2889999999999998E-2</v>
      </c>
      <c r="GW16" s="55">
        <f>0.001346+0.001264+0.003757+0.000068+0.002260833+0.002183+0.001500435</f>
        <v>1.2379268000000001E-2</v>
      </c>
      <c r="GX16" s="41">
        <f>117.536666666667/(1000)</f>
        <v>0.117536666666667</v>
      </c>
      <c r="GY16" s="41">
        <f>90.6468181818182/(1000)</f>
        <v>9.0646818181818203E-2</v>
      </c>
      <c r="GZ16" s="41">
        <f>55.4578181818182/(1000)</f>
        <v>5.5457818181818198E-2</v>
      </c>
      <c r="HA16" s="41">
        <f>56.7871739130435/(1000)</f>
        <v>5.6787173913043505E-2</v>
      </c>
      <c r="HB16" s="41">
        <f>63.7084615384615/(1000)</f>
        <v>6.3708461538461506E-2</v>
      </c>
      <c r="HC16" s="41">
        <f>67.1391666666667/(1000)</f>
        <v>6.7139166666666694E-2</v>
      </c>
      <c r="HD16" s="41">
        <f>78.1176470588235/(1000)</f>
        <v>7.81176470588235E-2</v>
      </c>
      <c r="HE16" s="41">
        <f>87.2651063829787/(1000)</f>
        <v>8.7265106382978699E-2</v>
      </c>
      <c r="HF16" s="41">
        <f>67.2251851851852/(1000)</f>
        <v>6.7225185185185193E-2</v>
      </c>
      <c r="HG16" s="41">
        <f>46.8933333333333/(1000)</f>
        <v>4.6893333333333301E-2</v>
      </c>
      <c r="HH16" s="41">
        <f>49.2335185185185/(1000)</f>
        <v>4.9233518518518503E-2</v>
      </c>
      <c r="HI16" s="41">
        <f>42.6170588235294/(1000)</f>
        <v>4.2617058823529397E-2</v>
      </c>
      <c r="HJ16" s="41">
        <f>SUM(GV16:GW16)+AVERAGE(HC16:HF16)</f>
        <v>0.13020604432341354</v>
      </c>
      <c r="HK16" s="41">
        <f>SUM(GV16:GW16)+AVERAGE(GX16:HB16,HG16:HI16)</f>
        <v>0.12062937414464869</v>
      </c>
      <c r="HL16" s="41">
        <f>SUM(GV16:GW16)+AVERAGE(GX16:HI16)</f>
        <v>0.1238215975375703</v>
      </c>
      <c r="HN16" s="45">
        <v>1</v>
      </c>
      <c r="HO16" s="41">
        <f t="shared" ref="HO16:HO38" si="13">HN16/$B$1</f>
        <v>4</v>
      </c>
      <c r="HP16" s="55">
        <f t="shared" ref="HP16:HP38" si="14">0.000735</f>
        <v>7.3499999999999998E-4</v>
      </c>
      <c r="HQ16" s="55">
        <f t="shared" ref="HQ16:HQ38" si="15">7.25/1000</f>
        <v>7.2500000000000004E-3</v>
      </c>
      <c r="HR16" s="41">
        <f>24.5177380952381/(1000)</f>
        <v>2.4517738095238103E-2</v>
      </c>
      <c r="HS16" s="41">
        <f>23.86325/(1000)</f>
        <v>2.3863249999999999E-2</v>
      </c>
      <c r="HT16" s="41">
        <f>34.766847826087/(1000)</f>
        <v>3.4766847826087001E-2</v>
      </c>
      <c r="HU16" s="41">
        <f>34.2930952380952/(1000)</f>
        <v>3.4293095238095199E-2</v>
      </c>
      <c r="HV16" s="41">
        <f>50.8140909090909/(1000)</f>
        <v>5.0814090909090899E-2</v>
      </c>
      <c r="HW16" s="41">
        <f>54.6345454545454/(1000)</f>
        <v>5.4634545454545401E-2</v>
      </c>
      <c r="HX16" s="41">
        <f>50.1652380952381/(1000)</f>
        <v>5.0165238095238103E-2</v>
      </c>
      <c r="HY16" s="41">
        <f>64.2820652173913/(1000)</f>
        <v>6.4282065217391313E-2</v>
      </c>
      <c r="HZ16" s="41">
        <f>48.3959090909091/(1000)</f>
        <v>4.8395909090909101E-2</v>
      </c>
      <c r="IA16" s="41">
        <f>32.4945238095238/(1000)</f>
        <v>3.24945238095238E-2</v>
      </c>
      <c r="IB16" s="41">
        <f>27.580652173913/(1000)</f>
        <v>2.7580652173912999E-2</v>
      </c>
      <c r="IC16" s="41">
        <f>19.445/(1000)</f>
        <v>1.9445E-2</v>
      </c>
      <c r="ID16" s="41">
        <f t="shared" ref="ID16:ID37" si="16">SUM(HP16:HQ16)+AVERAGE(HW16:HZ16)*125%</f>
        <v>7.5946799330651224E-2</v>
      </c>
      <c r="IE16" s="41">
        <f t="shared" ref="IE16:IE37" si="17">SUM(HP16:HQ16)+AVERAGE(HR16:HV16,IA16:IC16)*125%</f>
        <v>4.6699874695616872E-2</v>
      </c>
      <c r="IF16" s="41">
        <f t="shared" ref="IF16:IF37" si="18">SUM(HP16:HQ16)+AVERAGE(HR16:IC16)*125%</f>
        <v>5.6448849573961651E-2</v>
      </c>
      <c r="IH16" s="45">
        <v>1</v>
      </c>
      <c r="II16" s="41">
        <f t="shared" ref="II16:II38" si="19">IH16/$B$1</f>
        <v>4</v>
      </c>
      <c r="IJ16" s="55">
        <f t="shared" ref="IJ16:IJ38" si="20">0.000637</f>
        <v>6.3699999999999998E-4</v>
      </c>
      <c r="IK16" s="55">
        <f t="shared" ref="IK16:IK38" si="21">7.25/1000</f>
        <v>7.2500000000000004E-3</v>
      </c>
      <c r="IL16" s="41">
        <f>24.9270238095238/(1000)</f>
        <v>2.4927023809523798E-2</v>
      </c>
      <c r="IM16" s="41">
        <f>21.207375/(1000)</f>
        <v>2.1207375000000001E-2</v>
      </c>
      <c r="IN16" s="41">
        <f>24.6588043478261/(1000)</f>
        <v>2.4658804347826097E-2</v>
      </c>
      <c r="IO16" s="41">
        <f>30.9523809523809/(1000)</f>
        <v>3.0952380952380898E-2</v>
      </c>
      <c r="IP16" s="41">
        <f>49.4740909090909/(1000)</f>
        <v>4.9474090909090898E-2</v>
      </c>
      <c r="IQ16" s="41">
        <f>55.1870454545455/(1000)</f>
        <v>5.5187045454545496E-2</v>
      </c>
      <c r="IR16" s="41">
        <f>50.5057142857143/(1000)</f>
        <v>5.05057142857143E-2</v>
      </c>
      <c r="IS16" s="41">
        <f>64.3233695652174/(1000)</f>
        <v>6.4323369565217406E-2</v>
      </c>
      <c r="IT16" s="41">
        <f>47.9004545454545/(1000)</f>
        <v>4.7900454545454503E-2</v>
      </c>
      <c r="IU16" s="41">
        <f>30.6410714285714/(1000)</f>
        <v>3.0641071428571399E-2</v>
      </c>
      <c r="IV16" s="41">
        <f>26.0511956521739/(1000)</f>
        <v>2.6051195652173897E-2</v>
      </c>
      <c r="IW16" s="41">
        <f>17.9647826086957/(1000)</f>
        <v>1.79647826086957E-2</v>
      </c>
      <c r="IX16" s="41">
        <f t="shared" ref="IX16:IX19" si="22">SUM(IJ16:IK16)+AVERAGE(IQ16:IT16)*125%</f>
        <v>7.5985932453416172E-2</v>
      </c>
      <c r="IY16" s="41">
        <f t="shared" ref="IY16:IY37" si="23">SUM(IJ16:IK16)+AVERAGE(IL16:IP16,IU16:IW16)*125%</f>
        <v>4.3180238235666038E-2</v>
      </c>
      <c r="IZ16" s="41">
        <f t="shared" ref="IZ16:IZ29" si="24">SUM(IJ16:IK16)+AVERAGE(IL16:IW16)*125%</f>
        <v>5.4115469641582745E-2</v>
      </c>
      <c r="JB16" s="45">
        <v>1</v>
      </c>
      <c r="JC16" s="41">
        <f t="shared" ref="JC16:JC38" si="25">JB16/$B$1</f>
        <v>4</v>
      </c>
      <c r="JD16" s="55">
        <v>4.1340000000000002E-2</v>
      </c>
      <c r="JE16" s="55">
        <f t="shared" ref="JE16:JE38" si="26">7.25/1000</f>
        <v>7.2500000000000004E-3</v>
      </c>
      <c r="JF16" s="41">
        <f>25.0689285714286/(1000)</f>
        <v>2.50689285714286E-2</v>
      </c>
      <c r="JG16" s="41">
        <f>16.064375/(1000)</f>
        <v>1.6064374999999999E-2</v>
      </c>
      <c r="JH16" s="41">
        <f>26.295652173913/(1000)</f>
        <v>2.6295652173912998E-2</v>
      </c>
      <c r="JI16" s="41">
        <f>30.5728571428571/(1000)</f>
        <v>3.05728571428571E-2</v>
      </c>
      <c r="JJ16" s="41">
        <f>49.4317045454545/(1000)</f>
        <v>4.9431704545454501E-2</v>
      </c>
      <c r="JK16" s="41">
        <f>54.3086363636364/(1000)</f>
        <v>5.4308636363636406E-2</v>
      </c>
      <c r="JL16" s="41">
        <f>50.4452380952381/(1000)</f>
        <v>5.0445238095238105E-2</v>
      </c>
      <c r="JM16" s="41">
        <f>64.9070652173913/(1000)</f>
        <v>6.4907065217391299E-2</v>
      </c>
      <c r="JN16" s="41">
        <f>48.9314772727273/(1000)</f>
        <v>4.89314772727273E-2</v>
      </c>
      <c r="JO16" s="41">
        <f>32.2808333333333/(1000)</f>
        <v>3.22808333333333E-2</v>
      </c>
      <c r="JP16" s="41">
        <f>28.7629347826087/(1000)</f>
        <v>2.87629347826087E-2</v>
      </c>
      <c r="JQ16" s="41">
        <f>15.8189130434783/(1000)</f>
        <v>1.5818913043478301E-2</v>
      </c>
      <c r="JR16" s="41">
        <f t="shared" ref="JR16" si="27">SUM(JD16:JE16)+AVERAGE(JK16:JN16)*125%</f>
        <v>0.11690013029656035</v>
      </c>
      <c r="JS16" s="41">
        <f t="shared" ref="JS16:JS22" si="28">SUM(JD16:JE16)+AVERAGE(JF16:JJ16,JO16:JQ16)*125%</f>
        <v>8.3636281030167736E-2</v>
      </c>
      <c r="JT16" s="41">
        <f t="shared" ref="JT16:JT22" si="29">SUM(JD16:JE16)+AVERAGE(JF16:JQ16)*125%</f>
        <v>9.4724230785631941E-2</v>
      </c>
      <c r="JV16" s="41">
        <v>1</v>
      </c>
      <c r="JW16" s="41">
        <f t="shared" ref="JW16:JW38" si="30">JV16/$B$1</f>
        <v>4</v>
      </c>
      <c r="JX16" s="55">
        <f t="shared" ref="JX16:JX38" si="31">0.03531</f>
        <v>3.5310000000000001E-2</v>
      </c>
      <c r="JY16" s="55">
        <f t="shared" ref="JY16:JY38" si="32">7.25/1000</f>
        <v>7.2500000000000004E-3</v>
      </c>
      <c r="JZ16" s="41">
        <f>25.0689285714286/(1000)</f>
        <v>2.50689285714286E-2</v>
      </c>
      <c r="KA16" s="41">
        <f>16.064375/(1000)</f>
        <v>1.6064374999999999E-2</v>
      </c>
      <c r="KB16" s="41">
        <f>26.295652173913/(1000)</f>
        <v>2.6295652173912998E-2</v>
      </c>
      <c r="KC16" s="41">
        <f>30.5728571428571/(1000)</f>
        <v>3.05728571428571E-2</v>
      </c>
      <c r="KD16" s="41">
        <f>49.4317045454545/(1000)</f>
        <v>4.9431704545454501E-2</v>
      </c>
      <c r="KE16" s="41">
        <f>54.3086363636364/(1000)</f>
        <v>5.4308636363636406E-2</v>
      </c>
      <c r="KF16" s="41">
        <f>50.4452380952381/(1000)</f>
        <v>5.0445238095238105E-2</v>
      </c>
      <c r="KG16" s="41">
        <f>64.9070652173913/(1000)</f>
        <v>6.4907065217391299E-2</v>
      </c>
      <c r="KH16" s="41">
        <f>48.9314772727273/(1000)</f>
        <v>4.89314772727273E-2</v>
      </c>
      <c r="KI16" s="41">
        <f>32.2808333333333/(1000)</f>
        <v>3.22808333333333E-2</v>
      </c>
      <c r="KJ16" s="41">
        <f>28.7629347826087/(1000)</f>
        <v>2.87629347826087E-2</v>
      </c>
      <c r="KK16" s="41">
        <f>15.8189130434783/(1000)</f>
        <v>1.5818913043478301E-2</v>
      </c>
      <c r="KL16" s="41">
        <f t="shared" ref="KL16" si="33">SUM(JX16:JY16)+AVERAGE(KE16:KH16)*125%</f>
        <v>0.11087013029656036</v>
      </c>
      <c r="KM16" s="41">
        <f t="shared" ref="KM16:KM22" si="34">SUM(JX16:JY16)+AVERAGE(JZ16:KD16,KI16:KK16)*125%</f>
        <v>7.7606281030167729E-2</v>
      </c>
      <c r="KN16" s="41">
        <f t="shared" ref="KN16:KN19" si="35">SUM(JX16:JY16)+AVERAGE(JZ16:KK16)*125%</f>
        <v>8.8694230785631947E-2</v>
      </c>
      <c r="KP16" s="59" t="s">
        <v>54</v>
      </c>
      <c r="KQ16" s="55" t="s">
        <v>506</v>
      </c>
      <c r="KR16" s="55">
        <f>4.5+6.4+4.15</f>
        <v>15.05</v>
      </c>
      <c r="KS16" s="55">
        <f>KR16/mo</f>
        <v>0.4934426229508197</v>
      </c>
      <c r="KU16" s="41" t="s">
        <v>54</v>
      </c>
      <c r="KV16" s="55" t="s">
        <v>510</v>
      </c>
      <c r="KW16" s="55">
        <f>12.25+4.15</f>
        <v>16.399999999999999</v>
      </c>
      <c r="KX16" s="55">
        <v>0.49344262300000002</v>
      </c>
    </row>
    <row r="17" spans="1:305">
      <c r="A17" s="41">
        <v>21</v>
      </c>
      <c r="B17" s="41">
        <v>84</v>
      </c>
      <c r="C17" s="41">
        <f>0.11979+0.09496</f>
        <v>0.21475</v>
      </c>
      <c r="E17" s="41">
        <v>21</v>
      </c>
      <c r="F17" s="41">
        <v>84</v>
      </c>
      <c r="G17" s="41">
        <f>0.04699+0.0664</f>
        <v>0.11338999999999999</v>
      </c>
      <c r="I17" s="41">
        <v>2</v>
      </c>
      <c r="J17" s="41">
        <f t="shared" si="1"/>
        <v>8</v>
      </c>
      <c r="K17" s="41">
        <f t="shared" si="5"/>
        <v>4.6989999999999997E-2</v>
      </c>
      <c r="L17" s="41">
        <f t="shared" si="5"/>
        <v>4.6989999999999997E-2</v>
      </c>
      <c r="M17" s="41">
        <v>8.0089999999999995E-2</v>
      </c>
      <c r="N17" s="41">
        <v>8.0269999999999994E-2</v>
      </c>
      <c r="O17" s="41">
        <v>7.7520000000000006E-2</v>
      </c>
      <c r="P17" s="41">
        <v>8.3110000000000003E-2</v>
      </c>
      <c r="Q17" s="41">
        <v>7.9149999999999998E-2</v>
      </c>
      <c r="R17" s="41">
        <v>8.0549999999999997E-2</v>
      </c>
      <c r="S17" s="41">
        <v>8.0379999999999993E-2</v>
      </c>
      <c r="U17" s="41">
        <v>21</v>
      </c>
      <c r="V17" s="41">
        <v>84</v>
      </c>
      <c r="W17" s="41">
        <f>0.10633+0.06525</f>
        <v>0.17158000000000001</v>
      </c>
      <c r="Z17" s="41">
        <v>21</v>
      </c>
      <c r="AA17" s="41">
        <v>84</v>
      </c>
      <c r="AB17" s="41">
        <f>0.04605+0.06525</f>
        <v>0.11130000000000001</v>
      </c>
      <c r="AD17" s="41">
        <v>2</v>
      </c>
      <c r="AE17" s="41">
        <f t="shared" si="2"/>
        <v>8</v>
      </c>
      <c r="AF17" s="41">
        <f t="shared" si="6"/>
        <v>4.6050000000000001E-2</v>
      </c>
      <c r="AG17" s="41">
        <f t="shared" si="6"/>
        <v>4.6050000000000001E-2</v>
      </c>
      <c r="AH17" s="41">
        <v>7.5910000000000005E-2</v>
      </c>
      <c r="AI17" s="41">
        <v>7.6069999999999999E-2</v>
      </c>
      <c r="AJ17" s="41">
        <v>7.3469999999999994E-2</v>
      </c>
      <c r="AK17" s="41">
        <v>7.8759999999999997E-2</v>
      </c>
      <c r="AL17" s="41">
        <v>7.5009999999999993E-2</v>
      </c>
      <c r="AM17" s="41">
        <v>7.6340000000000005E-2</v>
      </c>
      <c r="AN17" s="41">
        <v>7.6179999999999998E-2</v>
      </c>
      <c r="AP17" s="41">
        <v>21</v>
      </c>
      <c r="AQ17" s="41">
        <v>84</v>
      </c>
      <c r="AR17" s="41">
        <f>0.09674+0.0612</f>
        <v>0.15794</v>
      </c>
      <c r="AU17" s="41">
        <v>21</v>
      </c>
      <c r="AV17" s="41">
        <v>84</v>
      </c>
      <c r="AW17" s="41">
        <f>0.04277+0.0612</f>
        <v>0.10397000000000001</v>
      </c>
      <c r="AY17" s="41">
        <v>2</v>
      </c>
      <c r="AZ17" s="41">
        <f t="shared" si="3"/>
        <v>8</v>
      </c>
      <c r="BA17" s="41">
        <v>4.2770000000000002E-2</v>
      </c>
      <c r="BB17" s="41">
        <v>4.2770000000000002E-2</v>
      </c>
      <c r="BC17" s="41">
        <v>7.0819999999999994E-2</v>
      </c>
      <c r="BD17" s="41">
        <v>7.0980000000000001E-2</v>
      </c>
      <c r="BE17" s="41">
        <v>6.8540000000000004E-2</v>
      </c>
      <c r="BF17" s="41">
        <v>7.349E-2</v>
      </c>
      <c r="BG17" s="41">
        <v>6.9980000000000001E-2</v>
      </c>
      <c r="BH17" s="41">
        <v>7.1230000000000002E-2</v>
      </c>
      <c r="BI17" s="41">
        <v>7.1069999999999994E-2</v>
      </c>
      <c r="BK17" s="41">
        <v>21</v>
      </c>
      <c r="BL17" s="41">
        <v>84</v>
      </c>
      <c r="BM17" s="41">
        <f>0.04025+0.05516</f>
        <v>9.5409999999999995E-2</v>
      </c>
      <c r="BP17" s="41">
        <v>21</v>
      </c>
      <c r="BQ17" s="41">
        <v>84</v>
      </c>
      <c r="BR17" s="41">
        <f>0.08809+0.05516</f>
        <v>0.14324999999999999</v>
      </c>
      <c r="BT17" s="41">
        <v>2</v>
      </c>
      <c r="BU17" s="41">
        <f t="shared" si="4"/>
        <v>8</v>
      </c>
      <c r="BV17" s="41">
        <v>4.0250000000000001E-2</v>
      </c>
      <c r="BW17" s="41">
        <v>4.0250000000000001E-2</v>
      </c>
      <c r="BX17" s="41">
        <v>6.5689999999999998E-2</v>
      </c>
      <c r="BY17" s="41">
        <v>6.583E-2</v>
      </c>
      <c r="BZ17" s="41">
        <v>6.3579999999999998E-2</v>
      </c>
      <c r="CA17" s="41">
        <v>6.8159999999999998E-2</v>
      </c>
      <c r="CB17" s="41">
        <v>6.4909999999999995E-2</v>
      </c>
      <c r="CC17" s="41">
        <v>6.6070000000000004E-2</v>
      </c>
      <c r="CD17" s="41">
        <v>6.5920000000000006E-2</v>
      </c>
      <c r="CE17" s="41">
        <f t="shared" si="7"/>
        <v>0.10516</v>
      </c>
      <c r="CF17" s="41">
        <v>21</v>
      </c>
      <c r="CG17" s="41">
        <f>CF17/ts</f>
        <v>84</v>
      </c>
      <c r="CH17" s="41">
        <f>0.09451+0.10587</f>
        <v>0.20038</v>
      </c>
      <c r="CJ17" s="41">
        <v>21</v>
      </c>
      <c r="CK17" s="41">
        <f>CJ17/ts</f>
        <v>84</v>
      </c>
      <c r="CL17" s="41">
        <f>0.09596+0.07992</f>
        <v>0.17588000000000001</v>
      </c>
      <c r="CN17" s="41">
        <v>21</v>
      </c>
      <c r="CO17" s="41">
        <f>CN17/ts</f>
        <v>84</v>
      </c>
      <c r="CP17" s="41">
        <f>0.07922+0.06719</f>
        <v>0.14640999999999998</v>
      </c>
      <c r="CS17" s="45">
        <v>14</v>
      </c>
      <c r="CT17" s="41">
        <f>CS17/$B$1</f>
        <v>56</v>
      </c>
      <c r="CU17" s="41">
        <v>0.17518</v>
      </c>
      <c r="CX17" s="41">
        <v>14</v>
      </c>
      <c r="CY17" s="41">
        <f>CX17/$B$1</f>
        <v>56</v>
      </c>
      <c r="CZ17" s="41">
        <v>0.16824</v>
      </c>
      <c r="DC17" s="41">
        <v>16</v>
      </c>
      <c r="DD17" s="41">
        <f>DC17/$B$1</f>
        <v>64</v>
      </c>
      <c r="DE17" s="41">
        <v>0.38827</v>
      </c>
      <c r="DG17" s="41">
        <v>16</v>
      </c>
      <c r="DH17" s="41">
        <f>DG17/$B$1</f>
        <v>64</v>
      </c>
      <c r="DI17" s="41">
        <v>0.44884000000000002</v>
      </c>
      <c r="DL17" s="41">
        <v>21</v>
      </c>
      <c r="DM17" s="41">
        <f>DL17/$B$1</f>
        <v>84</v>
      </c>
      <c r="DN17" s="41">
        <v>0.29966999999999999</v>
      </c>
      <c r="DP17" s="41">
        <v>16</v>
      </c>
      <c r="DQ17" s="41">
        <f>DP17/$B$1</f>
        <v>64</v>
      </c>
      <c r="DR17" s="41">
        <v>0.31411</v>
      </c>
      <c r="DU17" s="41">
        <v>16</v>
      </c>
      <c r="DV17" s="41">
        <f>DU17/$B$1</f>
        <v>64</v>
      </c>
      <c r="DW17" s="41">
        <v>0.19597999999999999</v>
      </c>
      <c r="DZ17" s="41">
        <v>16</v>
      </c>
      <c r="EA17" s="41">
        <f>DZ17/$B$1</f>
        <v>64</v>
      </c>
      <c r="EB17" s="41">
        <v>0.40943000000000002</v>
      </c>
      <c r="EE17" s="41">
        <v>16</v>
      </c>
      <c r="EF17" s="41">
        <f>EE17/$B$1</f>
        <v>64</v>
      </c>
      <c r="EG17" s="41">
        <v>0.18675</v>
      </c>
      <c r="EJ17" s="41">
        <v>16</v>
      </c>
      <c r="EK17" s="41">
        <f>EJ17/$B$1</f>
        <v>64</v>
      </c>
      <c r="EL17" s="41">
        <v>0.38668000000000002</v>
      </c>
      <c r="EN17" s="45">
        <v>16</v>
      </c>
      <c r="EO17" s="41">
        <f>EN17/$B$1</f>
        <v>64</v>
      </c>
      <c r="EP17" s="41">
        <v>0.22944999999999999</v>
      </c>
      <c r="ES17" s="41">
        <v>16</v>
      </c>
      <c r="ET17" s="41">
        <f>ES17/$B$1</f>
        <v>64</v>
      </c>
      <c r="EU17" s="41">
        <v>0.18945999999999999</v>
      </c>
      <c r="EX17" s="41">
        <v>16</v>
      </c>
      <c r="EY17" s="41">
        <f>EX17/$B$1</f>
        <v>64</v>
      </c>
      <c r="EZ17" s="41">
        <v>0.17177999999999999</v>
      </c>
      <c r="FC17" s="41">
        <v>16</v>
      </c>
      <c r="FD17" s="41">
        <f>FC17/$B$1</f>
        <v>64</v>
      </c>
      <c r="FE17" s="41">
        <f>0.12729+0.34164</f>
        <v>0.46892999999999996</v>
      </c>
      <c r="FH17" s="45">
        <v>14</v>
      </c>
      <c r="FI17" s="41">
        <f>FH17/$B$1</f>
        <v>56</v>
      </c>
      <c r="FJ17" s="41">
        <f t="shared" si="8"/>
        <v>1.4300000000000003E-3</v>
      </c>
      <c r="FK17" s="41">
        <v>0.19484000000000001</v>
      </c>
      <c r="FL17" s="41">
        <f t="shared" si="9"/>
        <v>0.19627</v>
      </c>
      <c r="FN17" s="41">
        <v>1</v>
      </c>
      <c r="FO17" s="41">
        <f t="shared" ref="FO17:FO39" si="36">FN17/$B$1</f>
        <v>4</v>
      </c>
      <c r="FP17" s="41">
        <f t="shared" ref="FP17:FP39" si="37">-0.0006+0.00203</f>
        <v>1.4300000000000003E-3</v>
      </c>
      <c r="FQ17" s="41">
        <v>1.149E-2</v>
      </c>
      <c r="FR17" s="41">
        <f>54.6301347619048/(1000)</f>
        <v>5.46301347619048E-2</v>
      </c>
      <c r="FS17" s="41">
        <f>43.3796863/(1000)</f>
        <v>4.3379686300000005E-2</v>
      </c>
      <c r="FT17" s="41">
        <f>34.5262334347826/(1000)</f>
        <v>3.4526233434782595E-2</v>
      </c>
      <c r="FU17" s="41">
        <f>47.7622381428571/(1000)</f>
        <v>4.77622381428571E-2</v>
      </c>
      <c r="FV17" s="41">
        <f>50.9776561363636/(1000)</f>
        <v>5.0977656136363597E-2</v>
      </c>
      <c r="FW17" s="41">
        <f>52.9441092272727/(1000)</f>
        <v>5.2944109227272697E-2</v>
      </c>
      <c r="FX17" s="41">
        <f>58.1761965714286/(1000)</f>
        <v>5.8176196571428598E-2</v>
      </c>
      <c r="FY17" s="41">
        <f>65.9618150869565/(1000)</f>
        <v>6.5961815086956505E-2</v>
      </c>
      <c r="FZ17" s="41">
        <f>52.1506603181818/(1000)</f>
        <v>5.2150660318181802E-2</v>
      </c>
      <c r="GA17" s="41">
        <f>37.0542264285714/(1000)</f>
        <v>3.7054226428571396E-2</v>
      </c>
      <c r="GB17" s="41">
        <f>32.6592564090909/(1000)</f>
        <v>3.2659256409090898E-2</v>
      </c>
      <c r="GC17" s="41">
        <f>28.3188775217391/(1000)</f>
        <v>2.8318877521739099E-2</v>
      </c>
      <c r="GD17" s="41">
        <f t="shared" ref="GD17:GD39" si="38">SUM(FP17:FQ17)+AVERAGE(FW17:FZ17)</f>
        <v>7.0228195300959903E-2</v>
      </c>
      <c r="GE17" s="41">
        <f t="shared" ref="GE17:GE39" si="39">SUM(FP17:FQ17)+AVERAGE(FR17:FV17,GA17:GC17)</f>
        <v>5.4083538641913689E-2</v>
      </c>
      <c r="GF17" s="41">
        <f t="shared" ref="GF17:GF39" si="40">SUM(FP17:FQ17)+AVERAGE(FR17:GC17)</f>
        <v>5.9465090861595751E-2</v>
      </c>
      <c r="GN17" s="41">
        <v>22</v>
      </c>
      <c r="GO17" s="55">
        <f t="shared" si="10"/>
        <v>88</v>
      </c>
      <c r="GP17" s="55">
        <f t="shared" si="11"/>
        <v>4.1220000000000007E-2</v>
      </c>
      <c r="GQ17" s="55">
        <f>0.06862+0.001346+0.001264+0.003757+0.000068+0.00224725+0.002796+0.00173775</f>
        <v>8.1836000000000006E-2</v>
      </c>
      <c r="GR17" s="55">
        <f t="shared" si="12"/>
        <v>0.12305600000000001</v>
      </c>
      <c r="GT17" s="41">
        <v>1</v>
      </c>
      <c r="GU17" s="41">
        <f t="shared" ref="GU17:GU39" si="41">GT17/$B$1</f>
        <v>4</v>
      </c>
      <c r="GV17" s="55">
        <f t="shared" ref="GV17:GV39" si="42">0.00957+0.001234+0.000047-0.000001+0+0.0049+0.0001+0.00604+0.021</f>
        <v>4.2889999999999998E-2</v>
      </c>
      <c r="GW17" s="55">
        <f t="shared" ref="GW17:GW39" si="43">0.001346+0.001264+0.003757+0.000068+0.002260833+0.002183+0.001500435</f>
        <v>1.2379268000000001E-2</v>
      </c>
      <c r="GX17" s="41">
        <f>108.922888888889/(1000)</f>
        <v>0.108922888888889</v>
      </c>
      <c r="GY17" s="41">
        <f>84.5661363636363/(1000)</f>
        <v>8.4566136363636302E-2</v>
      </c>
      <c r="GZ17" s="41">
        <f>52.0549090909091/(1000)</f>
        <v>5.2054909090909096E-2</v>
      </c>
      <c r="HA17" s="41">
        <f>54.0039130434783/(1000)</f>
        <v>5.4003913043478298E-2</v>
      </c>
      <c r="HB17" s="41">
        <f>59.9209615384615/(1000)</f>
        <v>5.9920961538461499E-2</v>
      </c>
      <c r="HC17" s="41">
        <f>61.631875/(1000)</f>
        <v>6.1631875000000003E-2</v>
      </c>
      <c r="HD17" s="41">
        <f>69.0037254901961/(1000)</f>
        <v>6.9003725490196108E-2</v>
      </c>
      <c r="HE17" s="41">
        <f>78.1663829787234/(1000)</f>
        <v>7.81663829787234E-2</v>
      </c>
      <c r="HF17" s="41">
        <f>62.432037037037/(1000)</f>
        <v>6.2432037037037001E-2</v>
      </c>
      <c r="HG17" s="41">
        <f>44.2217777777778/(1000)</f>
        <v>4.4221777777777804E-2</v>
      </c>
      <c r="HH17" s="41">
        <f>42.8658823529412/(1000)</f>
        <v>4.2865882352941198E-2</v>
      </c>
      <c r="HI17" s="41">
        <f>39.7572549019608/(1000)</f>
        <v>3.9757254901960797E-2</v>
      </c>
      <c r="HJ17" s="41">
        <f t="shared" ref="HJ17:HJ39" si="44">SUM(GV17:GW17)+AVERAGE(HC17:HF17)</f>
        <v>0.12307777312648913</v>
      </c>
      <c r="HK17" s="41">
        <f t="shared" ref="HK17:HK39" si="45">SUM(GV17:GW17)+AVERAGE(GX17:HB17,HG17:HI17)</f>
        <v>0.11605848349475675</v>
      </c>
      <c r="HL17" s="41">
        <f t="shared" ref="HL17:HL39" si="46">SUM(GV17:GW17)+AVERAGE(GX17:HI17)</f>
        <v>0.11839824670533421</v>
      </c>
      <c r="HN17" s="45">
        <v>2</v>
      </c>
      <c r="HO17" s="41">
        <f t="shared" si="13"/>
        <v>8</v>
      </c>
      <c r="HP17" s="55">
        <f t="shared" si="14"/>
        <v>7.3499999999999998E-4</v>
      </c>
      <c r="HQ17" s="55">
        <f t="shared" si="15"/>
        <v>7.2500000000000004E-3</v>
      </c>
      <c r="HR17" s="41">
        <f>25.6683333333333/(1000)</f>
        <v>2.56683333333333E-2</v>
      </c>
      <c r="HS17" s="41">
        <f>28.414375/(1000)</f>
        <v>2.8414374999999999E-2</v>
      </c>
      <c r="HT17" s="41">
        <f>31.8097826086957/(1000)</f>
        <v>3.18097826086957E-2</v>
      </c>
      <c r="HU17" s="41">
        <f>32.1986904761905/(1000)</f>
        <v>3.2198690476190499E-2</v>
      </c>
      <c r="HV17" s="41">
        <f>43.9853409090909/(1000)</f>
        <v>4.3985340909090904E-2</v>
      </c>
      <c r="HW17" s="41">
        <f>50.0523863636364/(1000)</f>
        <v>5.0052386363636403E-2</v>
      </c>
      <c r="HX17" s="41">
        <f>47.557619047619/(1000)</f>
        <v>4.7557619047619001E-2</v>
      </c>
      <c r="HY17" s="41">
        <f>60.4914130434783/(1000)</f>
        <v>6.0491413043478305E-2</v>
      </c>
      <c r="HZ17" s="41">
        <f>46.5960227272727/(1000)</f>
        <v>4.6596022727272694E-2</v>
      </c>
      <c r="IA17" s="41">
        <f>30.5945238095238/(1000)</f>
        <v>3.0594523809523801E-2</v>
      </c>
      <c r="IB17" s="41">
        <f>26.718152173913/(1000)</f>
        <v>2.6718152173913001E-2</v>
      </c>
      <c r="IC17" s="41">
        <f>18.0988043478261/(1000)</f>
        <v>1.8098804347826101E-2</v>
      </c>
      <c r="ID17" s="41">
        <f t="shared" si="16"/>
        <v>7.1952950369377017E-2</v>
      </c>
      <c r="IE17" s="41">
        <f t="shared" si="17"/>
        <v>4.5092500415402074E-2</v>
      </c>
      <c r="IF17" s="41">
        <f t="shared" si="18"/>
        <v>5.4045983733393727E-2</v>
      </c>
      <c r="IH17" s="45">
        <v>2</v>
      </c>
      <c r="II17" s="41">
        <f t="shared" si="19"/>
        <v>8</v>
      </c>
      <c r="IJ17" s="55">
        <f t="shared" si="20"/>
        <v>6.3699999999999998E-4</v>
      </c>
      <c r="IK17" s="55">
        <f t="shared" si="21"/>
        <v>7.2500000000000004E-3</v>
      </c>
      <c r="IL17" s="41">
        <f>25.7609523809524/(1000)</f>
        <v>2.5760952380952398E-2</v>
      </c>
      <c r="IM17" s="41">
        <f>25.836/(1000)</f>
        <v>2.5835999999999998E-2</v>
      </c>
      <c r="IN17" s="41">
        <f>21.7689130434783/(1000)</f>
        <v>2.1768913043478298E-2</v>
      </c>
      <c r="IO17" s="41">
        <f>28.2320238095238/(1000)</f>
        <v>2.8232023809523801E-2</v>
      </c>
      <c r="IP17" s="41">
        <f>43.9636363636364/(1000)</f>
        <v>4.3963636363636399E-2</v>
      </c>
      <c r="IQ17" s="41">
        <f>48.9772727272727/(1000)</f>
        <v>4.8977272727272696E-2</v>
      </c>
      <c r="IR17" s="41">
        <f>47.9589285714286/(1000)</f>
        <v>4.7958928571428604E-2</v>
      </c>
      <c r="IS17" s="41">
        <f>60.4317391304348/(1000)</f>
        <v>6.04317391304348E-2</v>
      </c>
      <c r="IT17" s="41">
        <f>45.8811363636364/(1000)</f>
        <v>4.5881136363636402E-2</v>
      </c>
      <c r="IU17" s="41">
        <f>28.5897619047619/(1000)</f>
        <v>2.8589761904761899E-2</v>
      </c>
      <c r="IV17" s="41">
        <f>25.5598913043478/(1000)</f>
        <v>2.5559891304347802E-2</v>
      </c>
      <c r="IW17" s="41">
        <f>16.7555434782609/(1000)</f>
        <v>1.6755543478260901E-2</v>
      </c>
      <c r="IX17" s="41">
        <f>SUM(IJ17:IK17)+AVERAGE(IQ17:IT17)*125%</f>
        <v>7.1402336497741414E-2</v>
      </c>
      <c r="IY17" s="41">
        <f t="shared" si="23"/>
        <v>4.1709925357025231E-2</v>
      </c>
      <c r="IZ17" s="41">
        <f t="shared" si="24"/>
        <v>5.1607395737263966E-2</v>
      </c>
      <c r="JB17" s="45">
        <v>2</v>
      </c>
      <c r="JC17" s="41">
        <f t="shared" si="25"/>
        <v>8</v>
      </c>
      <c r="JD17" s="55">
        <v>4.1340000000000002E-2</v>
      </c>
      <c r="JE17" s="55">
        <f t="shared" si="26"/>
        <v>7.2500000000000004E-3</v>
      </c>
      <c r="JF17" s="41">
        <f>26.2666666666667/(1000)</f>
        <v>2.6266666666666702E-2</v>
      </c>
      <c r="JG17" s="41">
        <f>21.707125/(1000)</f>
        <v>2.1707125000000001E-2</v>
      </c>
      <c r="JH17" s="41">
        <f>22.2728260869565/(1000)</f>
        <v>2.22728260869565E-2</v>
      </c>
      <c r="JI17" s="41">
        <f>27.8522619047619/(1000)</f>
        <v>2.7852261904761901E-2</v>
      </c>
      <c r="JJ17" s="41">
        <f>43.9372727272727/(1000)</f>
        <v>4.39372727272727E-2</v>
      </c>
      <c r="JK17" s="41">
        <f>50.0698863636364/(1000)</f>
        <v>5.00698863636364E-2</v>
      </c>
      <c r="JL17" s="41">
        <f>47.9653571428571/(1000)</f>
        <v>4.7965357142857101E-2</v>
      </c>
      <c r="JM17" s="41">
        <f>61.5508695652174/(1000)</f>
        <v>6.1550869565217395E-2</v>
      </c>
      <c r="JN17" s="41">
        <f>47.3839772727273/(1000)</f>
        <v>4.73839772727273E-2</v>
      </c>
      <c r="JO17" s="41">
        <f>29.9036904761905/(1000)</f>
        <v>2.99036904761905E-2</v>
      </c>
      <c r="JP17" s="41">
        <f>27.5890217391304/(1000)</f>
        <v>2.7589021739130398E-2</v>
      </c>
      <c r="JQ17" s="41">
        <f>14.4929347826087/(1000)</f>
        <v>1.4492934782608699E-2</v>
      </c>
      <c r="JR17" s="41">
        <f>SUM(JD17:JE17)+AVERAGE(JK17:JN17)*125%</f>
        <v>0.11326815323263695</v>
      </c>
      <c r="JS17" s="41">
        <f t="shared" si="28"/>
        <v>8.2030906153685523E-2</v>
      </c>
      <c r="JT17" s="41">
        <f t="shared" si="29"/>
        <v>9.2443321846669341E-2</v>
      </c>
      <c r="JV17" s="41">
        <v>2</v>
      </c>
      <c r="JW17" s="41">
        <f t="shared" si="30"/>
        <v>8</v>
      </c>
      <c r="JX17" s="55">
        <f t="shared" si="31"/>
        <v>3.5310000000000001E-2</v>
      </c>
      <c r="JY17" s="55">
        <f t="shared" si="32"/>
        <v>7.2500000000000004E-3</v>
      </c>
      <c r="JZ17" s="41">
        <f>26.2666666666667/(1000)</f>
        <v>2.6266666666666702E-2</v>
      </c>
      <c r="KA17" s="41">
        <f>21.707125/(1000)</f>
        <v>2.1707125000000001E-2</v>
      </c>
      <c r="KB17" s="41">
        <f>22.2728260869565/(1000)</f>
        <v>2.22728260869565E-2</v>
      </c>
      <c r="KC17" s="41">
        <f>27.8522619047619/(1000)</f>
        <v>2.7852261904761901E-2</v>
      </c>
      <c r="KD17" s="41">
        <f>43.9372727272727/(1000)</f>
        <v>4.39372727272727E-2</v>
      </c>
      <c r="KE17" s="41">
        <f>50.0698863636364/(1000)</f>
        <v>5.00698863636364E-2</v>
      </c>
      <c r="KF17" s="41">
        <f>47.9653571428571/(1000)</f>
        <v>4.7965357142857101E-2</v>
      </c>
      <c r="KG17" s="41">
        <f>61.5508695652174/(1000)</f>
        <v>6.1550869565217395E-2</v>
      </c>
      <c r="KH17" s="41">
        <f>47.3839772727273/(1000)</f>
        <v>4.73839772727273E-2</v>
      </c>
      <c r="KI17" s="41">
        <f>29.9036904761905/(1000)</f>
        <v>2.99036904761905E-2</v>
      </c>
      <c r="KJ17" s="41">
        <f>27.5890217391304/(1000)</f>
        <v>2.7589021739130398E-2</v>
      </c>
      <c r="KK17" s="41">
        <f>14.4929347826087/(1000)</f>
        <v>1.4492934782608699E-2</v>
      </c>
      <c r="KL17" s="41">
        <f>SUM(JX17:JY17)+AVERAGE(KE17:KH17)*125%</f>
        <v>0.10723815323263694</v>
      </c>
      <c r="KM17" s="41">
        <f t="shared" si="34"/>
        <v>7.600090615368553E-2</v>
      </c>
      <c r="KN17" s="41">
        <f t="shared" si="35"/>
        <v>8.6413321846669333E-2</v>
      </c>
      <c r="KP17" s="59"/>
      <c r="KQ17" s="55"/>
      <c r="KR17" s="55"/>
      <c r="KS17" s="55"/>
    </row>
    <row r="18" spans="1:305">
      <c r="E18" s="41" t="s">
        <v>54</v>
      </c>
      <c r="F18" s="41" t="s">
        <v>55</v>
      </c>
      <c r="G18" s="41">
        <f>14.85+4.73+17.48</f>
        <v>37.06</v>
      </c>
      <c r="H18" s="41">
        <f>G18/(mo)</f>
        <v>1.2150819672131148</v>
      </c>
      <c r="I18" s="41">
        <v>3</v>
      </c>
      <c r="J18" s="41">
        <f t="shared" si="1"/>
        <v>12</v>
      </c>
      <c r="K18" s="41">
        <f t="shared" si="5"/>
        <v>4.6989999999999997E-2</v>
      </c>
      <c r="L18" s="41">
        <f t="shared" si="5"/>
        <v>4.6989999999999997E-2</v>
      </c>
      <c r="M18" s="41">
        <v>8.0180000000000001E-2</v>
      </c>
      <c r="N18" s="41">
        <v>8.0729999999999996E-2</v>
      </c>
      <c r="O18" s="41">
        <v>7.8310000000000005E-2</v>
      </c>
      <c r="P18" s="41">
        <v>8.4029999999999994E-2</v>
      </c>
      <c r="Q18" s="41">
        <v>7.9979999999999996E-2</v>
      </c>
      <c r="R18" s="41">
        <v>8.0839999999999995E-2</v>
      </c>
      <c r="S18" s="41">
        <v>8.0710000000000004E-2</v>
      </c>
      <c r="U18" s="41" t="s">
        <v>54</v>
      </c>
      <c r="V18" s="41" t="s">
        <v>55</v>
      </c>
      <c r="W18" s="41">
        <f>12.14+5.12</f>
        <v>17.260000000000002</v>
      </c>
      <c r="X18" s="41">
        <f>W18/(mo)</f>
        <v>0.5659016393442623</v>
      </c>
      <c r="Z18" s="41" t="s">
        <v>54</v>
      </c>
      <c r="AA18" s="41" t="s">
        <v>55</v>
      </c>
      <c r="AB18" s="41">
        <f>17.57+15.5+23.56</f>
        <v>56.629999999999995</v>
      </c>
      <c r="AC18" s="41">
        <f>AB18/(mo)</f>
        <v>1.8567213114754098</v>
      </c>
      <c r="AD18" s="41">
        <v>3</v>
      </c>
      <c r="AE18" s="41">
        <f t="shared" si="2"/>
        <v>12</v>
      </c>
      <c r="AF18" s="41">
        <f t="shared" si="6"/>
        <v>4.6050000000000001E-2</v>
      </c>
      <c r="AG18" s="41">
        <f t="shared" si="6"/>
        <v>4.6050000000000001E-2</v>
      </c>
      <c r="AH18" s="41">
        <v>7.5990000000000002E-2</v>
      </c>
      <c r="AI18" s="41">
        <v>7.6509999999999995E-2</v>
      </c>
      <c r="AJ18" s="41">
        <v>7.4219999999999994E-2</v>
      </c>
      <c r="AK18" s="41">
        <v>7.9640000000000002E-2</v>
      </c>
      <c r="AL18" s="41">
        <v>7.5800000000000006E-2</v>
      </c>
      <c r="AM18" s="41">
        <v>7.6609999999999998E-2</v>
      </c>
      <c r="AN18" s="41">
        <v>7.6490000000000002E-2</v>
      </c>
      <c r="AP18" s="41" t="s">
        <v>54</v>
      </c>
      <c r="AQ18" s="41" t="s">
        <v>55</v>
      </c>
      <c r="AR18" s="41">
        <f>12.93+4.86</f>
        <v>17.79</v>
      </c>
      <c r="AS18" s="41">
        <f>AR18/(mo)</f>
        <v>0.58327868852459008</v>
      </c>
      <c r="AU18" s="41" t="s">
        <v>54</v>
      </c>
      <c r="AV18" s="41" t="s">
        <v>55</v>
      </c>
      <c r="AW18" s="41">
        <f>18.94+16.14+22.36</f>
        <v>57.44</v>
      </c>
      <c r="AX18" s="41">
        <f>AW18/(mo)</f>
        <v>1.88327868852459</v>
      </c>
      <c r="AY18" s="41">
        <v>3</v>
      </c>
      <c r="AZ18" s="41">
        <f t="shared" si="3"/>
        <v>12</v>
      </c>
      <c r="BA18" s="41">
        <v>4.2770000000000002E-2</v>
      </c>
      <c r="BB18" s="41">
        <v>4.2770000000000002E-2</v>
      </c>
      <c r="BC18" s="41">
        <v>7.0900000000000005E-2</v>
      </c>
      <c r="BD18" s="41">
        <v>7.1379999999999999E-2</v>
      </c>
      <c r="BE18" s="41">
        <v>6.9239999999999996E-2</v>
      </c>
      <c r="BF18" s="41">
        <v>7.4300000000000005E-2</v>
      </c>
      <c r="BG18" s="41">
        <v>7.0720000000000005E-2</v>
      </c>
      <c r="BH18" s="41">
        <v>7.1480000000000002E-2</v>
      </c>
      <c r="BI18" s="41">
        <v>7.1360000000000007E-2</v>
      </c>
      <c r="BK18" s="41" t="s">
        <v>54</v>
      </c>
      <c r="BL18" s="41" t="s">
        <v>55</v>
      </c>
      <c r="BM18" s="41">
        <f>19.54+15.84+26.7</f>
        <v>62.08</v>
      </c>
      <c r="BN18" s="41">
        <f>BM18/(mo)</f>
        <v>2.0354098360655737</v>
      </c>
      <c r="BP18" s="41" t="s">
        <v>54</v>
      </c>
      <c r="BQ18" s="41" t="s">
        <v>94</v>
      </c>
      <c r="BR18" s="41">
        <v>13.42</v>
      </c>
      <c r="BS18" s="41">
        <f>BR18/(mo)</f>
        <v>0.44</v>
      </c>
      <c r="BT18" s="41">
        <v>3</v>
      </c>
      <c r="BU18" s="41">
        <f t="shared" si="4"/>
        <v>12</v>
      </c>
      <c r="BV18" s="41">
        <v>4.0250000000000001E-2</v>
      </c>
      <c r="BW18" s="41">
        <v>4.0250000000000001E-2</v>
      </c>
      <c r="BX18" s="41">
        <v>6.5759999999999999E-2</v>
      </c>
      <c r="BY18" s="41">
        <v>6.6210000000000005E-2</v>
      </c>
      <c r="BZ18" s="41">
        <v>6.4229999999999995E-2</v>
      </c>
      <c r="CA18" s="41">
        <v>6.8919999999999995E-2</v>
      </c>
      <c r="CB18" s="41">
        <v>6.5600000000000006E-2</v>
      </c>
      <c r="CC18" s="41">
        <v>6.6299999999999998E-2</v>
      </c>
      <c r="CD18" s="41">
        <v>6.6189999999999999E-2</v>
      </c>
      <c r="CE18" s="41">
        <f t="shared" si="7"/>
        <v>0.10585</v>
      </c>
      <c r="CS18" s="45">
        <v>16</v>
      </c>
      <c r="CT18" s="41">
        <f>CS18/$B$1</f>
        <v>64</v>
      </c>
      <c r="CU18" s="41">
        <v>0.36719000000000002</v>
      </c>
      <c r="CX18" s="41">
        <v>16</v>
      </c>
      <c r="CY18" s="41">
        <f>CX18/$B$1</f>
        <v>64</v>
      </c>
      <c r="CZ18" s="41">
        <v>0.38146999999999998</v>
      </c>
      <c r="DC18" s="41">
        <v>21</v>
      </c>
      <c r="DD18" s="41">
        <f>DC18/$B$1</f>
        <v>84</v>
      </c>
      <c r="DE18" s="41">
        <v>0.33904000000000001</v>
      </c>
      <c r="DG18" s="41">
        <v>21</v>
      </c>
      <c r="DH18" s="41">
        <f>DG18/$B$1</f>
        <v>84</v>
      </c>
      <c r="DI18" s="41">
        <v>0.30753999999999998</v>
      </c>
      <c r="DP18" s="41">
        <v>21</v>
      </c>
      <c r="DQ18" s="41">
        <f>DP18/$B$1</f>
        <v>84</v>
      </c>
      <c r="DR18" s="41">
        <v>0.25241999999999998</v>
      </c>
      <c r="DU18" s="41">
        <v>21</v>
      </c>
      <c r="DV18" s="41">
        <f>DU18/$B$1</f>
        <v>84</v>
      </c>
      <c r="DW18" s="41">
        <v>0.15878</v>
      </c>
      <c r="DZ18" s="41">
        <v>21</v>
      </c>
      <c r="EA18" s="41">
        <f>DZ18/$B$1</f>
        <v>84</v>
      </c>
      <c r="EB18" s="41">
        <v>0.22559000000000001</v>
      </c>
      <c r="EE18" s="41">
        <v>21</v>
      </c>
      <c r="EF18" s="41">
        <f>EE18/$B$1</f>
        <v>84</v>
      </c>
      <c r="EG18" s="41">
        <v>0.15332999999999999</v>
      </c>
      <c r="EJ18" s="41">
        <v>21</v>
      </c>
      <c r="EK18" s="41">
        <f>EJ18/$B$1</f>
        <v>84</v>
      </c>
      <c r="EL18" s="41">
        <v>0.20385</v>
      </c>
      <c r="EN18" s="45">
        <v>21</v>
      </c>
      <c r="EO18" s="41">
        <f>EN18/$B$1</f>
        <v>84</v>
      </c>
      <c r="EP18" s="41">
        <v>0.11207</v>
      </c>
      <c r="ES18" s="41">
        <v>21</v>
      </c>
      <c r="ET18" s="41">
        <f>ES18/$B$1</f>
        <v>84</v>
      </c>
      <c r="EU18" s="41">
        <v>0.11501</v>
      </c>
      <c r="EX18" s="41">
        <v>21</v>
      </c>
      <c r="EY18" s="41">
        <f>EX18/$B$1</f>
        <v>84</v>
      </c>
      <c r="EZ18" s="41">
        <v>0.10442</v>
      </c>
      <c r="FA18" s="41">
        <f>18.63/mo</f>
        <v>0.61081967213114752</v>
      </c>
      <c r="FC18" s="41">
        <v>21</v>
      </c>
      <c r="FD18" s="41">
        <f>FC18/$B$1</f>
        <v>84</v>
      </c>
      <c r="FE18" s="41">
        <f>0.12729+0.11656</f>
        <v>0.24384999999999998</v>
      </c>
      <c r="FH18" s="45">
        <v>18</v>
      </c>
      <c r="FI18" s="41">
        <f>FH18/$B$1</f>
        <v>72</v>
      </c>
      <c r="FJ18" s="41">
        <f t="shared" si="8"/>
        <v>1.4300000000000003E-3</v>
      </c>
      <c r="FK18" s="41">
        <v>5.9740000000000001E-2</v>
      </c>
      <c r="FL18" s="41">
        <f t="shared" si="9"/>
        <v>6.1170000000000002E-2</v>
      </c>
      <c r="FN18" s="41">
        <v>2</v>
      </c>
      <c r="FO18" s="41">
        <f t="shared" si="36"/>
        <v>8</v>
      </c>
      <c r="FP18" s="41">
        <f t="shared" si="37"/>
        <v>1.4300000000000003E-3</v>
      </c>
      <c r="FQ18" s="41">
        <v>1.149E-2</v>
      </c>
      <c r="FR18" s="41">
        <f>54.0255454761905/(1000)</f>
        <v>5.4025545476190498E-2</v>
      </c>
      <c r="FS18" s="41">
        <f>42.5908978/(1000)</f>
        <v>4.2590897799999999E-2</v>
      </c>
      <c r="FT18" s="41">
        <f>34.1774110869565/(1000)</f>
        <v>3.4177411086956502E-2</v>
      </c>
      <c r="FU18" s="41">
        <f>46.512935/(1000)</f>
        <v>4.6512934999999998E-2</v>
      </c>
      <c r="FV18" s="41">
        <f>48.8497293636364/(1000)</f>
        <v>4.88497293636364E-2</v>
      </c>
      <c r="FW18" s="41">
        <f>48.8228843636364/(1000)</f>
        <v>4.8822884363636396E-2</v>
      </c>
      <c r="FX18" s="41">
        <f>52.3738134761905/(1000)</f>
        <v>5.2373813476190502E-2</v>
      </c>
      <c r="FY18" s="41">
        <f>59.4743590434783/(1000)</f>
        <v>5.9474359043478302E-2</v>
      </c>
      <c r="FZ18" s="41">
        <f>48.5158498636364/(1000)</f>
        <v>4.8515849863636398E-2</v>
      </c>
      <c r="GA18" s="41">
        <f>35.3722976666667/(1000)</f>
        <v>3.5372297666666698E-2</v>
      </c>
      <c r="GB18" s="41">
        <f>31.3924226363636/(1000)</f>
        <v>3.1392422636363604E-2</v>
      </c>
      <c r="GC18" s="41">
        <f>26.8403085652174/(1000)</f>
        <v>2.6840308565217397E-2</v>
      </c>
      <c r="GD18" s="41">
        <f t="shared" si="38"/>
        <v>6.5216726686735407E-2</v>
      </c>
      <c r="GE18" s="41">
        <f t="shared" si="39"/>
        <v>5.289019344937889E-2</v>
      </c>
      <c r="GF18" s="41">
        <f t="shared" si="40"/>
        <v>5.699903786183106E-2</v>
      </c>
      <c r="GH18" s="59"/>
      <c r="GI18" s="55"/>
      <c r="GJ18" s="55" t="s">
        <v>442</v>
      </c>
      <c r="GK18" s="55" t="s">
        <v>452</v>
      </c>
      <c r="GL18" s="55"/>
      <c r="GN18" s="55" t="s">
        <v>443</v>
      </c>
      <c r="GO18" s="55" t="s">
        <v>445</v>
      </c>
      <c r="GP18" s="55">
        <f>10.56+22.66+21.67+0.16+0.2+0.36+0.01+2.26</f>
        <v>57.879999999999995</v>
      </c>
      <c r="GQ18" s="55">
        <f>GP18/mo</f>
        <v>1.8977049180327867</v>
      </c>
      <c r="GT18" s="41">
        <v>2</v>
      </c>
      <c r="GU18" s="41">
        <f t="shared" si="41"/>
        <v>8</v>
      </c>
      <c r="GV18" s="55">
        <f t="shared" si="42"/>
        <v>4.2889999999999998E-2</v>
      </c>
      <c r="GW18" s="55">
        <f t="shared" si="43"/>
        <v>1.2379268000000001E-2</v>
      </c>
      <c r="GX18" s="41">
        <f>106.464222222222/(1000)</f>
        <v>0.106464222222222</v>
      </c>
      <c r="GY18" s="41">
        <f>83.4095454545455/(1000)</f>
        <v>8.34095454545455E-2</v>
      </c>
      <c r="GZ18" s="41">
        <f>50.2616363636364/(1000)</f>
        <v>5.0261636363636397E-2</v>
      </c>
      <c r="HA18" s="41">
        <f>53.0623913043478/(1000)</f>
        <v>5.3062391304347797E-2</v>
      </c>
      <c r="HB18" s="41">
        <f>58.0882692307692/(1000)</f>
        <v>5.80882692307692E-2</v>
      </c>
      <c r="HC18" s="41">
        <f>58.835/(1000)</f>
        <v>5.8834999999999998E-2</v>
      </c>
      <c r="HD18" s="41">
        <f>64.1994117647059/(1000)</f>
        <v>6.4199411764705894E-2</v>
      </c>
      <c r="HE18" s="41">
        <f>72.9317021276596/(1000)</f>
        <v>7.2931702127659606E-2</v>
      </c>
      <c r="HF18" s="41">
        <f>59.1131481481481/(1000)</f>
        <v>5.9113148148148102E-2</v>
      </c>
      <c r="HG18" s="41">
        <f>42.6084444444444/(1000)</f>
        <v>4.26084444444444E-2</v>
      </c>
      <c r="HH18" s="41">
        <f>41.58/(1000)</f>
        <v>4.1579999999999999E-2</v>
      </c>
      <c r="HI18" s="41">
        <f>38.6435294117647/(1000)</f>
        <v>3.8643529411764702E-2</v>
      </c>
      <c r="HJ18" s="41">
        <f t="shared" si="44"/>
        <v>0.1190390835101284</v>
      </c>
      <c r="HK18" s="41">
        <f t="shared" si="45"/>
        <v>0.11453402280396624</v>
      </c>
      <c r="HL18" s="41">
        <f t="shared" si="46"/>
        <v>0.1160357097060203</v>
      </c>
      <c r="HN18" s="45">
        <v>3</v>
      </c>
      <c r="HO18" s="41">
        <f t="shared" si="13"/>
        <v>12</v>
      </c>
      <c r="HP18" s="55">
        <f t="shared" si="14"/>
        <v>7.3499999999999998E-4</v>
      </c>
      <c r="HQ18" s="55">
        <f t="shared" si="15"/>
        <v>7.2500000000000004E-3</v>
      </c>
      <c r="HR18" s="41">
        <f>26.7766666666667/(1000)</f>
        <v>2.6776666666666699E-2</v>
      </c>
      <c r="HS18" s="41">
        <f>25.9055/(1000)</f>
        <v>2.5905500000000001E-2</v>
      </c>
      <c r="HT18" s="41">
        <f>29.1213043478261/(1000)</f>
        <v>2.9121304347826102E-2</v>
      </c>
      <c r="HU18" s="41">
        <f>32.3469047619048/(1000)</f>
        <v>3.2346904761904806E-2</v>
      </c>
      <c r="HV18" s="41">
        <f>39.7476136363636/(1000)</f>
        <v>3.9747613636363602E-2</v>
      </c>
      <c r="HW18" s="41">
        <f>48.3379545454545/(1000)</f>
        <v>4.8337954545454503E-2</v>
      </c>
      <c r="HX18" s="41">
        <f>45.1997619047619/(1000)</f>
        <v>4.5199761904761902E-2</v>
      </c>
      <c r="HY18" s="41">
        <f>59.4323913043478/(1000)</f>
        <v>5.9432391304347805E-2</v>
      </c>
      <c r="HZ18" s="41">
        <f>44.46875/(1000)</f>
        <v>4.4468750000000001E-2</v>
      </c>
      <c r="IA18" s="41">
        <f>31.5996428571429/(1000)</f>
        <v>3.1599642857142902E-2</v>
      </c>
      <c r="IB18" s="41">
        <f>26.2340217391304/(1000)</f>
        <v>2.6234021739130402E-2</v>
      </c>
      <c r="IC18" s="41">
        <f>19.3364130434783/(1000)</f>
        <v>1.9336413043478298E-2</v>
      </c>
      <c r="ID18" s="41">
        <f t="shared" si="16"/>
        <v>6.9684643048301326E-2</v>
      </c>
      <c r="IE18" s="41">
        <f t="shared" si="17"/>
        <v>4.408938547695513E-2</v>
      </c>
      <c r="IF18" s="41">
        <f t="shared" si="18"/>
        <v>5.2621138000737193E-2</v>
      </c>
      <c r="IH18" s="45">
        <v>3</v>
      </c>
      <c r="II18" s="41">
        <f t="shared" si="19"/>
        <v>12</v>
      </c>
      <c r="IJ18" s="55">
        <f t="shared" si="20"/>
        <v>6.3699999999999998E-4</v>
      </c>
      <c r="IK18" s="55">
        <f t="shared" si="21"/>
        <v>7.2500000000000004E-3</v>
      </c>
      <c r="IL18" s="41">
        <f>26.7504761904762/(1000)</f>
        <v>2.67504761904762E-2</v>
      </c>
      <c r="IM18" s="41">
        <f>23.95025/(1000)</f>
        <v>2.3950249999999999E-2</v>
      </c>
      <c r="IN18" s="41">
        <f>20.9717391304348/(1000)</f>
        <v>2.0971739130434798E-2</v>
      </c>
      <c r="IO18" s="41">
        <f>28.8289285714286/(1000)</f>
        <v>2.8828928571428603E-2</v>
      </c>
      <c r="IP18" s="41">
        <f>39.2285227272727/(1000)</f>
        <v>3.9228522727272695E-2</v>
      </c>
      <c r="IQ18" s="41">
        <f>47.7204545454545/(1000)</f>
        <v>4.7720454545454503E-2</v>
      </c>
      <c r="IR18" s="41">
        <f>45.4615476190476/(1000)</f>
        <v>4.5461547619047603E-2</v>
      </c>
      <c r="IS18" s="41">
        <f>59.3328260869565/(1000)</f>
        <v>5.9332826086956503E-2</v>
      </c>
      <c r="IT18" s="41">
        <f>43.7685227272727/(1000)</f>
        <v>4.3768522727272705E-2</v>
      </c>
      <c r="IU18" s="41">
        <f>29.5426190476191/(1000)</f>
        <v>2.9542619047619102E-2</v>
      </c>
      <c r="IV18" s="41">
        <f>25.0382608695652/(1000)</f>
        <v>2.5038260869565201E-2</v>
      </c>
      <c r="IW18" s="41">
        <f>18.0147826086957/(1000)</f>
        <v>1.8014782608695701E-2</v>
      </c>
      <c r="IX18" s="41">
        <f t="shared" si="22"/>
        <v>6.9225547180853553E-2</v>
      </c>
      <c r="IY18" s="41">
        <f t="shared" si="23"/>
        <v>4.1062871741483167E-2</v>
      </c>
      <c r="IZ18" s="41">
        <f t="shared" si="24"/>
        <v>5.0450430221273296E-2</v>
      </c>
      <c r="JB18" s="45">
        <v>3</v>
      </c>
      <c r="JC18" s="41">
        <f t="shared" si="25"/>
        <v>12</v>
      </c>
      <c r="JD18" s="55">
        <v>4.1340000000000002E-2</v>
      </c>
      <c r="JE18" s="55">
        <f t="shared" si="26"/>
        <v>7.2500000000000004E-3</v>
      </c>
      <c r="JF18" s="41">
        <f>26.9997619047619/(1000)</f>
        <v>2.6999761904761901E-2</v>
      </c>
      <c r="JG18" s="41">
        <f>20.189375/(1000)</f>
        <v>2.0189374999999999E-2</v>
      </c>
      <c r="JH18" s="41">
        <f>20.9788043478261/(1000)</f>
        <v>2.0978804347826098E-2</v>
      </c>
      <c r="JI18" s="41">
        <f>28.2165476190476/(1000)</f>
        <v>2.8216547619047599E-2</v>
      </c>
      <c r="JJ18" s="41">
        <f>38.8792045454546/(1000)</f>
        <v>3.8879204545454599E-2</v>
      </c>
      <c r="JK18" s="41">
        <f>48.2422727272727/(1000)</f>
        <v>4.8242272727272696E-2</v>
      </c>
      <c r="JL18" s="41">
        <f>45.3769047619048/(1000)</f>
        <v>4.5376904761904799E-2</v>
      </c>
      <c r="JM18" s="41">
        <f>60.2913043478261/(1000)</f>
        <v>6.0291304347826098E-2</v>
      </c>
      <c r="JN18" s="41">
        <f>45.24375/(1000)</f>
        <v>4.5243749999999999E-2</v>
      </c>
      <c r="JO18" s="41">
        <f>30.8671428571429/(1000)</f>
        <v>3.0867142857142899E-2</v>
      </c>
      <c r="JP18" s="41">
        <f>27.2797826086957/(1000)</f>
        <v>2.72797826086957E-2</v>
      </c>
      <c r="JQ18" s="41">
        <f>16.0069565217391/(1000)</f>
        <v>1.6006956521739099E-2</v>
      </c>
      <c r="JR18" s="41">
        <f t="shared" ref="JR18:JR19" si="47">SUM(JD18:JE18)+AVERAGE(JK18:JN18)*125%</f>
        <v>0.11082569744906362</v>
      </c>
      <c r="JS18" s="41">
        <f t="shared" si="28"/>
        <v>8.1311496156979357E-2</v>
      </c>
      <c r="JT18" s="41">
        <f t="shared" si="29"/>
        <v>9.1149563254340774E-2</v>
      </c>
      <c r="JV18" s="41">
        <v>3</v>
      </c>
      <c r="JW18" s="41">
        <f t="shared" si="30"/>
        <v>12</v>
      </c>
      <c r="JX18" s="55">
        <f t="shared" si="31"/>
        <v>3.5310000000000001E-2</v>
      </c>
      <c r="JY18" s="55">
        <f t="shared" si="32"/>
        <v>7.2500000000000004E-3</v>
      </c>
      <c r="JZ18" s="41">
        <f>26.9997619047619/(1000)</f>
        <v>2.6999761904761901E-2</v>
      </c>
      <c r="KA18" s="41">
        <f>20.189375/(1000)</f>
        <v>2.0189374999999999E-2</v>
      </c>
      <c r="KB18" s="41">
        <f>20.9788043478261/(1000)</f>
        <v>2.0978804347826098E-2</v>
      </c>
      <c r="KC18" s="41">
        <f>28.2165476190476/(1000)</f>
        <v>2.8216547619047599E-2</v>
      </c>
      <c r="KD18" s="41">
        <f>38.8792045454546/(1000)</f>
        <v>3.8879204545454599E-2</v>
      </c>
      <c r="KE18" s="41">
        <f>48.2422727272727/(1000)</f>
        <v>4.8242272727272696E-2</v>
      </c>
      <c r="KF18" s="41">
        <f>45.3769047619048/(1000)</f>
        <v>4.5376904761904799E-2</v>
      </c>
      <c r="KG18" s="41">
        <f>60.2913043478261/(1000)</f>
        <v>6.0291304347826098E-2</v>
      </c>
      <c r="KH18" s="41">
        <f>45.24375/(1000)</f>
        <v>4.5243749999999999E-2</v>
      </c>
      <c r="KI18" s="41">
        <f>30.8671428571429/(1000)</f>
        <v>3.0867142857142899E-2</v>
      </c>
      <c r="KJ18" s="41">
        <f>27.2797826086957/(1000)</f>
        <v>2.72797826086957E-2</v>
      </c>
      <c r="KK18" s="41">
        <f>16.0069565217391/(1000)</f>
        <v>1.6006956521739099E-2</v>
      </c>
      <c r="KL18" s="41">
        <f t="shared" ref="KL18:KL19" si="48">SUM(JX18:JY18)+AVERAGE(KE18:KH18)*125%</f>
        <v>0.10479569744906363</v>
      </c>
      <c r="KM18" s="41">
        <f t="shared" si="34"/>
        <v>7.5281496156979349E-2</v>
      </c>
      <c r="KN18" s="41">
        <f t="shared" si="35"/>
        <v>8.511956325434078E-2</v>
      </c>
    </row>
    <row r="19" spans="1:305">
      <c r="A19" s="39" t="s">
        <v>48</v>
      </c>
      <c r="B19" s="39" t="s">
        <v>49</v>
      </c>
      <c r="C19" s="39" t="s">
        <v>77</v>
      </c>
      <c r="E19" s="39" t="s">
        <v>48</v>
      </c>
      <c r="F19" s="39" t="s">
        <v>49</v>
      </c>
      <c r="G19" s="39" t="s">
        <v>77</v>
      </c>
      <c r="I19" s="41">
        <v>4</v>
      </c>
      <c r="J19" s="41">
        <f t="shared" si="1"/>
        <v>16</v>
      </c>
      <c r="K19" s="41">
        <f t="shared" si="5"/>
        <v>4.6989999999999997E-2</v>
      </c>
      <c r="L19" s="41">
        <f t="shared" si="5"/>
        <v>4.6989999999999997E-2</v>
      </c>
      <c r="M19" s="41">
        <v>8.2309999999999994E-2</v>
      </c>
      <c r="N19" s="41">
        <v>8.2949999999999996E-2</v>
      </c>
      <c r="O19" s="41">
        <v>7.9979999999999996E-2</v>
      </c>
      <c r="P19" s="41">
        <v>8.5680000000000006E-2</v>
      </c>
      <c r="Q19" s="41">
        <v>8.1610000000000002E-2</v>
      </c>
      <c r="R19" s="41">
        <v>8.1920000000000007E-2</v>
      </c>
      <c r="S19" s="41">
        <v>8.1540000000000001E-2</v>
      </c>
      <c r="U19" s="39" t="s">
        <v>48</v>
      </c>
      <c r="V19" s="39" t="s">
        <v>49</v>
      </c>
      <c r="W19" s="39" t="s">
        <v>77</v>
      </c>
      <c r="Z19" s="39" t="s">
        <v>48</v>
      </c>
      <c r="AA19" s="39" t="s">
        <v>49</v>
      </c>
      <c r="AB19" s="39" t="s">
        <v>77</v>
      </c>
      <c r="AD19" s="41">
        <v>4</v>
      </c>
      <c r="AE19" s="41">
        <f t="shared" si="2"/>
        <v>16</v>
      </c>
      <c r="AF19" s="41">
        <f t="shared" si="6"/>
        <v>4.6050000000000001E-2</v>
      </c>
      <c r="AG19" s="41">
        <f t="shared" si="6"/>
        <v>4.6050000000000001E-2</v>
      </c>
      <c r="AH19" s="41">
        <v>7.8009999999999996E-2</v>
      </c>
      <c r="AI19" s="41">
        <v>7.8619999999999995E-2</v>
      </c>
      <c r="AJ19" s="41">
        <v>7.5800000000000006E-2</v>
      </c>
      <c r="AK19" s="41">
        <v>8.1199999999999994E-2</v>
      </c>
      <c r="AL19" s="41">
        <v>7.7340000000000006E-2</v>
      </c>
      <c r="AM19" s="41">
        <v>7.7640000000000001E-2</v>
      </c>
      <c r="AN19" s="41">
        <v>7.7280000000000001E-2</v>
      </c>
      <c r="AP19" s="39" t="s">
        <v>48</v>
      </c>
      <c r="AQ19" s="39" t="s">
        <v>49</v>
      </c>
      <c r="AR19" s="39" t="s">
        <v>77</v>
      </c>
      <c r="AU19" s="39" t="s">
        <v>48</v>
      </c>
      <c r="AV19" s="39" t="s">
        <v>49</v>
      </c>
      <c r="AW19" s="39" t="s">
        <v>77</v>
      </c>
      <c r="AY19" s="41">
        <v>4</v>
      </c>
      <c r="AZ19" s="41">
        <f t="shared" si="3"/>
        <v>16</v>
      </c>
      <c r="BA19" s="41">
        <v>4.2770000000000002E-2</v>
      </c>
      <c r="BB19" s="41">
        <v>4.2770000000000002E-2</v>
      </c>
      <c r="BC19" s="41">
        <v>7.2789999999999994E-2</v>
      </c>
      <c r="BD19" s="41">
        <v>7.3349999999999999E-2</v>
      </c>
      <c r="BE19" s="41">
        <v>7.0720000000000005E-2</v>
      </c>
      <c r="BF19" s="41">
        <v>7.5759999999999994E-2</v>
      </c>
      <c r="BG19" s="41">
        <v>7.2160000000000002E-2</v>
      </c>
      <c r="BH19" s="41">
        <v>7.2440000000000004E-2</v>
      </c>
      <c r="BI19" s="41">
        <v>7.2099999999999997E-2</v>
      </c>
      <c r="BK19" s="39" t="s">
        <v>48</v>
      </c>
      <c r="BL19" s="39" t="s">
        <v>49</v>
      </c>
      <c r="BM19" s="39" t="s">
        <v>77</v>
      </c>
      <c r="BP19" s="39" t="s">
        <v>48</v>
      </c>
      <c r="BQ19" s="39" t="s">
        <v>49</v>
      </c>
      <c r="BR19" s="39" t="s">
        <v>77</v>
      </c>
      <c r="BT19" s="41">
        <v>4</v>
      </c>
      <c r="BU19" s="41">
        <f t="shared" si="4"/>
        <v>16</v>
      </c>
      <c r="BV19" s="41">
        <v>4.0250000000000001E-2</v>
      </c>
      <c r="BW19" s="41">
        <v>4.0250000000000001E-2</v>
      </c>
      <c r="BX19" s="41">
        <v>6.7510000000000001E-2</v>
      </c>
      <c r="BY19" s="41">
        <v>6.8029999999999993E-2</v>
      </c>
      <c r="BZ19" s="41">
        <v>6.5600000000000006E-2</v>
      </c>
      <c r="CA19" s="41">
        <v>7.0269999999999999E-2</v>
      </c>
      <c r="CB19" s="41">
        <v>6.6930000000000003E-2</v>
      </c>
      <c r="CC19" s="41">
        <v>6.719E-2</v>
      </c>
      <c r="CD19" s="41">
        <v>6.6879999999999995E-2</v>
      </c>
      <c r="CE19" s="41">
        <f t="shared" si="7"/>
        <v>0.10718</v>
      </c>
      <c r="CF19" s="39" t="s">
        <v>48</v>
      </c>
      <c r="CG19" s="39" t="s">
        <v>49</v>
      </c>
      <c r="CH19" s="39" t="s">
        <v>77</v>
      </c>
      <c r="CJ19" s="39" t="s">
        <v>48</v>
      </c>
      <c r="CK19" s="39" t="s">
        <v>49</v>
      </c>
      <c r="CL19" s="39" t="s">
        <v>77</v>
      </c>
      <c r="CN19" s="39" t="s">
        <v>48</v>
      </c>
      <c r="CO19" s="39" t="s">
        <v>49</v>
      </c>
      <c r="CP19" s="39" t="s">
        <v>77</v>
      </c>
      <c r="CS19" s="45">
        <v>21</v>
      </c>
      <c r="CT19" s="41">
        <f>CS19/$B$1</f>
        <v>84</v>
      </c>
      <c r="CU19" s="41">
        <v>0.17518</v>
      </c>
      <c r="CX19" s="41">
        <v>21</v>
      </c>
      <c r="CY19" s="41">
        <f>CX19/$B$1</f>
        <v>84</v>
      </c>
      <c r="CZ19" s="41">
        <v>0.16824</v>
      </c>
      <c r="DC19" s="41">
        <v>23</v>
      </c>
      <c r="DD19" s="41">
        <f>DC19/$B$1</f>
        <v>92</v>
      </c>
      <c r="DE19" s="41">
        <v>0.31824000000000002</v>
      </c>
      <c r="DG19" s="41">
        <v>23</v>
      </c>
      <c r="DH19" s="41">
        <f>DG19/$B$1</f>
        <v>92</v>
      </c>
      <c r="DI19" s="41">
        <v>0.26021</v>
      </c>
      <c r="DL19" s="39" t="s">
        <v>48</v>
      </c>
      <c r="DM19" s="39" t="s">
        <v>49</v>
      </c>
      <c r="DN19" s="39" t="s">
        <v>121</v>
      </c>
      <c r="DP19" s="41">
        <v>23</v>
      </c>
      <c r="DQ19" s="41">
        <f>DP19/$B$1</f>
        <v>92</v>
      </c>
      <c r="DR19" s="41">
        <v>0.21984999999999999</v>
      </c>
      <c r="DU19" s="41">
        <v>23</v>
      </c>
      <c r="DV19" s="41">
        <f>DU19/$B$1</f>
        <v>92</v>
      </c>
      <c r="DW19" s="41">
        <v>0.13245999999999999</v>
      </c>
      <c r="DZ19" s="41">
        <v>23</v>
      </c>
      <c r="EA19" s="41">
        <f>DZ19/$B$1</f>
        <v>92</v>
      </c>
      <c r="EB19" s="41">
        <v>0.16511999999999999</v>
      </c>
      <c r="EE19" s="41">
        <v>23</v>
      </c>
      <c r="EF19" s="41">
        <f>EE19/$B$1</f>
        <v>92</v>
      </c>
      <c r="EG19" s="41">
        <v>0.12692999999999999</v>
      </c>
      <c r="EJ19" s="41">
        <v>23</v>
      </c>
      <c r="EK19" s="41">
        <f>EJ19/$B$1</f>
        <v>92</v>
      </c>
      <c r="EL19" s="41">
        <v>0.14482</v>
      </c>
      <c r="EM19" s="41">
        <f>12.88/mo</f>
        <v>0.42229508196721316</v>
      </c>
      <c r="EN19" s="45" t="s">
        <v>145</v>
      </c>
      <c r="EO19" s="41" t="s">
        <v>146</v>
      </c>
      <c r="EP19" s="41">
        <f>30.68/10+5.99</f>
        <v>9.0579999999999998</v>
      </c>
      <c r="EQ19" s="41">
        <f>EP19/mo</f>
        <v>0.29698360655737704</v>
      </c>
      <c r="ES19" s="41" t="s">
        <v>145</v>
      </c>
      <c r="ET19" s="41" t="s">
        <v>155</v>
      </c>
      <c r="EU19" s="41">
        <f>31.32+27.8+12.18</f>
        <v>71.300000000000011</v>
      </c>
      <c r="EV19" s="41">
        <f>EU19/mo</f>
        <v>2.3377049180327871</v>
      </c>
      <c r="EX19" s="41" t="s">
        <v>145</v>
      </c>
      <c r="EY19" s="41" t="s">
        <v>157</v>
      </c>
      <c r="EZ19" s="41">
        <f>18.63+26.81+34.2</f>
        <v>79.64</v>
      </c>
      <c r="FA19" s="41">
        <f>EZ19/mo</f>
        <v>2.6111475409836067</v>
      </c>
      <c r="FC19" s="41" t="s">
        <v>152</v>
      </c>
      <c r="FD19" s="41" t="s">
        <v>153</v>
      </c>
      <c r="FE19" s="41">
        <v>4.57</v>
      </c>
      <c r="FF19" s="41">
        <f>FE19/mo</f>
        <v>0.14983606557377049</v>
      </c>
      <c r="FH19" s="45" t="s">
        <v>54</v>
      </c>
      <c r="FI19" s="41" t="s">
        <v>417</v>
      </c>
      <c r="FJ19" s="41">
        <f>9.19+1.75</f>
        <v>10.94</v>
      </c>
      <c r="FK19" s="41">
        <f>FJ19/mo</f>
        <v>0.35868852459016393</v>
      </c>
      <c r="FN19" s="41">
        <v>3</v>
      </c>
      <c r="FO19" s="41">
        <f t="shared" si="36"/>
        <v>12</v>
      </c>
      <c r="FP19" s="41">
        <f t="shared" si="37"/>
        <v>1.4300000000000003E-3</v>
      </c>
      <c r="FQ19" s="41">
        <v>1.149E-2</v>
      </c>
      <c r="FR19" s="41">
        <f>54.1710713333333/(1000)</f>
        <v>5.41710713333333E-2</v>
      </c>
      <c r="FS19" s="41">
        <f>43.3599766/(1000)</f>
        <v>4.3359976600000003E-2</v>
      </c>
      <c r="FT19" s="41">
        <f>34.0492761304348/(1000)</f>
        <v>3.4049276130434798E-2</v>
      </c>
      <c r="FU19" s="41">
        <f>46.3552726190476/(1000)</f>
        <v>4.6355272619047594E-2</v>
      </c>
      <c r="FV19" s="41">
        <f>47.6807871363636/(1000)</f>
        <v>4.7680787136363596E-2</v>
      </c>
      <c r="FW19" s="41">
        <f>46.7132922727273/(1000)</f>
        <v>4.6713292272727303E-2</v>
      </c>
      <c r="FX19" s="41">
        <f>48.957261047619/(1000)</f>
        <v>4.8957261047619001E-2</v>
      </c>
      <c r="FY19" s="41">
        <f>56.5379937826087/(1000)</f>
        <v>5.6537993782608702E-2</v>
      </c>
      <c r="FZ19" s="41">
        <f>47.1602271363636/(1000)</f>
        <v>4.71602271363636E-2</v>
      </c>
      <c r="GA19" s="41">
        <f>35.3798846666667/(1000)</f>
        <v>3.5379884666666694E-2</v>
      </c>
      <c r="GB19" s="41">
        <f>31.3146744545455/(1000)</f>
        <v>3.1314674454545499E-2</v>
      </c>
      <c r="GC19" s="41">
        <f>27.0318934782609/(1000)</f>
        <v>2.7031893478260901E-2</v>
      </c>
      <c r="GD19" s="41">
        <f t="shared" si="38"/>
        <v>6.2762193559829649E-2</v>
      </c>
      <c r="GE19" s="41">
        <f t="shared" si="39"/>
        <v>5.2837854552331552E-2</v>
      </c>
      <c r="GF19" s="41">
        <f t="shared" si="40"/>
        <v>5.6145967554830915E-2</v>
      </c>
      <c r="GH19" s="56" t="s">
        <v>48</v>
      </c>
      <c r="GI19" s="60" t="s">
        <v>49</v>
      </c>
      <c r="GJ19" s="60" t="s">
        <v>432</v>
      </c>
      <c r="GK19" s="60" t="s">
        <v>451</v>
      </c>
      <c r="GL19" s="60" t="s">
        <v>53</v>
      </c>
      <c r="GT19" s="41">
        <v>3</v>
      </c>
      <c r="GU19" s="41">
        <f t="shared" si="41"/>
        <v>12</v>
      </c>
      <c r="GV19" s="55">
        <f t="shared" si="42"/>
        <v>4.2889999999999998E-2</v>
      </c>
      <c r="GW19" s="55">
        <f t="shared" si="43"/>
        <v>1.2379268000000001E-2</v>
      </c>
      <c r="GX19" s="41">
        <f>106.659111111111/(1000)</f>
        <v>0.106659111111111</v>
      </c>
      <c r="GY19" s="41">
        <f>85.2677272727272/(1000)</f>
        <v>8.5267727272727203E-2</v>
      </c>
      <c r="GZ19" s="41">
        <f>50.0123636363636/(1000)</f>
        <v>5.0012363636363605E-2</v>
      </c>
      <c r="HA19" s="41">
        <f>52.7041304347826/(1000)</f>
        <v>5.2704130434782601E-2</v>
      </c>
      <c r="HB19" s="41">
        <f>56.9503846153846/(1000)</f>
        <v>5.6950384615384597E-2</v>
      </c>
      <c r="HC19" s="41">
        <f>56.76625/(1000)</f>
        <v>5.6766249999999997E-2</v>
      </c>
      <c r="HD19" s="41">
        <f>61.1776470588235/(1000)</f>
        <v>6.1177647058823503E-2</v>
      </c>
      <c r="HE19" s="41">
        <f>69.5514893617021/(1000)</f>
        <v>6.9551489361702093E-2</v>
      </c>
      <c r="HF19" s="41">
        <f>57.3490740740741/(1000)</f>
        <v>5.7349074074074101E-2</v>
      </c>
      <c r="HG19" s="41">
        <f>42.1302222222222/(1000)</f>
        <v>4.2130222222222201E-2</v>
      </c>
      <c r="HH19" s="41">
        <f>41.3094117647059/(1000)</f>
        <v>4.13094117647059E-2</v>
      </c>
      <c r="HI19" s="41">
        <f>38.7762745098039/(1000)</f>
        <v>3.87762745098039E-2</v>
      </c>
      <c r="HJ19" s="41">
        <f t="shared" si="44"/>
        <v>0.11648038312364992</v>
      </c>
      <c r="HK19" s="41">
        <f t="shared" si="45"/>
        <v>0.11449547119588763</v>
      </c>
      <c r="HL19" s="41">
        <f t="shared" si="46"/>
        <v>0.11515710850514173</v>
      </c>
      <c r="HN19" s="45">
        <v>4</v>
      </c>
      <c r="HO19" s="41">
        <f t="shared" si="13"/>
        <v>16</v>
      </c>
      <c r="HP19" s="55">
        <f t="shared" si="14"/>
        <v>7.3499999999999998E-4</v>
      </c>
      <c r="HQ19" s="55">
        <f t="shared" si="15"/>
        <v>7.2500000000000004E-3</v>
      </c>
      <c r="HR19" s="41">
        <f>27.4239285714286/(1000)</f>
        <v>2.7423928571428599E-2</v>
      </c>
      <c r="HS19" s="41">
        <f>34.62425/(1000)</f>
        <v>3.4624250000000002E-2</v>
      </c>
      <c r="HT19" s="41">
        <f>27.969094173913/(1000)</f>
        <v>2.7969094173912998E-2</v>
      </c>
      <c r="HU19" s="41">
        <f>34.5478571428572/(1000)</f>
        <v>3.45478571428572E-2</v>
      </c>
      <c r="HV19" s="41">
        <f>44.7265909090909/(1000)</f>
        <v>4.4726590909090903E-2</v>
      </c>
      <c r="HW19" s="41">
        <f>49.9815909090909/(1000)</f>
        <v>4.9981590909090899E-2</v>
      </c>
      <c r="HX19" s="41">
        <f>44.6372619047619/(1000)</f>
        <v>4.4637261904761902E-2</v>
      </c>
      <c r="HY19" s="41">
        <f>60.6304347826087/(1000)</f>
        <v>6.0630434782608704E-2</v>
      </c>
      <c r="HZ19" s="41">
        <f>46.0385227272727/(1000)</f>
        <v>4.6038522727272699E-2</v>
      </c>
      <c r="IA19" s="41">
        <f>33.4694047619048/(1000)</f>
        <v>3.3469404761904797E-2</v>
      </c>
      <c r="IB19" s="41">
        <f>29.2458695652174/(1000)</f>
        <v>2.9245869565217401E-2</v>
      </c>
      <c r="IC19" s="41">
        <f>19.5759782608696/(1000)</f>
        <v>1.9575978260869601E-2</v>
      </c>
      <c r="ID19" s="41">
        <f t="shared" si="16"/>
        <v>7.0887440726166942E-2</v>
      </c>
      <c r="IE19" s="41">
        <f t="shared" si="17"/>
        <v>4.7294839591450234E-2</v>
      </c>
      <c r="IF19" s="41">
        <f t="shared" si="18"/>
        <v>5.5159039969689135E-2</v>
      </c>
      <c r="IH19" s="45">
        <v>4</v>
      </c>
      <c r="II19" s="41">
        <f t="shared" si="19"/>
        <v>16</v>
      </c>
      <c r="IJ19" s="55">
        <f t="shared" si="20"/>
        <v>6.3699999999999998E-4</v>
      </c>
      <c r="IK19" s="55">
        <f t="shared" si="21"/>
        <v>7.2500000000000004E-3</v>
      </c>
      <c r="IL19" s="41">
        <f>27.4482142857143/(1000)</f>
        <v>2.7448214285714301E-2</v>
      </c>
      <c r="IM19" s="41">
        <f>32.45975/(1000)</f>
        <v>3.2459750000000002E-2</v>
      </c>
      <c r="IN19" s="41">
        <f>21.9819202608696/(1000)</f>
        <v>2.1981920260869599E-2</v>
      </c>
      <c r="IO19" s="41">
        <f>30.8292857142857/(1000)</f>
        <v>3.0829285714285698E-2</v>
      </c>
      <c r="IP19" s="41">
        <f>41.2603409090909/(1000)</f>
        <v>4.1260340909090899E-2</v>
      </c>
      <c r="IQ19" s="41">
        <f>48.9756818181818/(1000)</f>
        <v>4.89756818181818E-2</v>
      </c>
      <c r="IR19" s="41">
        <f>44.6897619047619/(1000)</f>
        <v>4.4689761904761899E-2</v>
      </c>
      <c r="IS19" s="41">
        <f>60.564347826087/(1000)</f>
        <v>6.0564347826087002E-2</v>
      </c>
      <c r="IT19" s="41">
        <f>45.5464772727273/(1000)</f>
        <v>4.5546477272727301E-2</v>
      </c>
      <c r="IU19" s="41">
        <f>30.8178571428571/(1000)</f>
        <v>3.0817857142857102E-2</v>
      </c>
      <c r="IV19" s="41">
        <f>28.6698913043478/(1000)</f>
        <v>2.86698913043478E-2</v>
      </c>
      <c r="IW19" s="41">
        <f>18.1338043478261/(1000)</f>
        <v>1.8133804347826101E-2</v>
      </c>
      <c r="IX19" s="41">
        <f t="shared" si="22"/>
        <v>7.0317084006799369E-2</v>
      </c>
      <c r="IY19" s="41">
        <f t="shared" si="23"/>
        <v>4.4074666244529923E-2</v>
      </c>
      <c r="IZ19" s="41">
        <f t="shared" si="24"/>
        <v>5.2822138831953067E-2</v>
      </c>
      <c r="JB19" s="45">
        <v>4</v>
      </c>
      <c r="JC19" s="41">
        <f t="shared" si="25"/>
        <v>16</v>
      </c>
      <c r="JD19" s="55">
        <v>4.1340000000000002E-2</v>
      </c>
      <c r="JE19" s="55">
        <f t="shared" si="26"/>
        <v>7.2500000000000004E-3</v>
      </c>
      <c r="JF19" s="41">
        <f>27.7614285714286/(1000)</f>
        <v>2.77614285714286E-2</v>
      </c>
      <c r="JG19" s="41">
        <f>27.872/(1000)</f>
        <v>2.7872000000000001E-2</v>
      </c>
      <c r="JH19" s="41">
        <f>21.761847826087/(1000)</f>
        <v>2.1761847826086998E-2</v>
      </c>
      <c r="JI19" s="41">
        <f>29.7470238095238/(1000)</f>
        <v>2.97470238095238E-2</v>
      </c>
      <c r="JJ19" s="41">
        <f>40.26625/(1000)</f>
        <v>4.0266249999999996E-2</v>
      </c>
      <c r="JK19" s="41">
        <f>48.9557954545455/(1000)</f>
        <v>4.8955795454545502E-2</v>
      </c>
      <c r="JL19" s="41">
        <f>44.7328571428572/(1000)</f>
        <v>4.4732857142857199E-2</v>
      </c>
      <c r="JM19" s="41">
        <f>61.2146739130435/(1000)</f>
        <v>6.1214673913043499E-2</v>
      </c>
      <c r="JN19" s="41">
        <f>46.5830681818182/(1000)</f>
        <v>4.6583068181818198E-2</v>
      </c>
      <c r="JO19" s="41">
        <f>34.2864285714286/(1000)</f>
        <v>3.42864285714286E-2</v>
      </c>
      <c r="JP19" s="41">
        <f>28.136847826087/(1000)</f>
        <v>2.8136847826087E-2</v>
      </c>
      <c r="JQ19" s="41">
        <f>17.0632608695652/(1000)</f>
        <v>1.7063260869565201E-2</v>
      </c>
      <c r="JR19" s="41">
        <f t="shared" si="47"/>
        <v>0.11155449834133263</v>
      </c>
      <c r="JS19" s="41">
        <f t="shared" si="28"/>
        <v>8.4042357417831282E-2</v>
      </c>
      <c r="JT19" s="41">
        <f t="shared" si="29"/>
        <v>9.3213071058998398E-2</v>
      </c>
      <c r="JV19" s="41">
        <v>4</v>
      </c>
      <c r="JW19" s="41">
        <f t="shared" si="30"/>
        <v>16</v>
      </c>
      <c r="JX19" s="55">
        <f t="shared" si="31"/>
        <v>3.5310000000000001E-2</v>
      </c>
      <c r="JY19" s="55">
        <f t="shared" si="32"/>
        <v>7.2500000000000004E-3</v>
      </c>
      <c r="JZ19" s="41">
        <f>27.7614285714286/(1000)</f>
        <v>2.77614285714286E-2</v>
      </c>
      <c r="KA19" s="41">
        <f>27.872/(1000)</f>
        <v>2.7872000000000001E-2</v>
      </c>
      <c r="KB19" s="41">
        <f>21.761847826087/(1000)</f>
        <v>2.1761847826086998E-2</v>
      </c>
      <c r="KC19" s="41">
        <f>29.7470238095238/(1000)</f>
        <v>2.97470238095238E-2</v>
      </c>
      <c r="KD19" s="41">
        <f>40.26625/(1000)</f>
        <v>4.0266249999999996E-2</v>
      </c>
      <c r="KE19" s="41">
        <f>48.9557954545455/(1000)</f>
        <v>4.8955795454545502E-2</v>
      </c>
      <c r="KF19" s="41">
        <f>44.7328571428572/(1000)</f>
        <v>4.4732857142857199E-2</v>
      </c>
      <c r="KG19" s="41">
        <f>61.2146739130435/(1000)</f>
        <v>6.1214673913043499E-2</v>
      </c>
      <c r="KH19" s="41">
        <f>46.5830681818182/(1000)</f>
        <v>4.6583068181818198E-2</v>
      </c>
      <c r="KI19" s="41">
        <f>34.2864285714286/(1000)</f>
        <v>3.42864285714286E-2</v>
      </c>
      <c r="KJ19" s="41">
        <f>28.136847826087/(1000)</f>
        <v>2.8136847826087E-2</v>
      </c>
      <c r="KK19" s="41">
        <f>17.0632608695652/(1000)</f>
        <v>1.7063260869565201E-2</v>
      </c>
      <c r="KL19" s="41">
        <f t="shared" si="48"/>
        <v>0.10552449834133262</v>
      </c>
      <c r="KM19" s="41">
        <f t="shared" si="34"/>
        <v>7.8012357417831274E-2</v>
      </c>
      <c r="KN19" s="41">
        <f t="shared" si="35"/>
        <v>8.718307105899839E-2</v>
      </c>
    </row>
    <row r="20" spans="1:305">
      <c r="A20" s="41">
        <v>0</v>
      </c>
      <c r="B20" s="41">
        <v>0</v>
      </c>
      <c r="C20" s="41">
        <f>0.11979+0.09496</f>
        <v>0.21475</v>
      </c>
      <c r="E20" s="41">
        <v>0</v>
      </c>
      <c r="F20" s="41">
        <v>0</v>
      </c>
      <c r="G20" s="41">
        <f>0.04699+0.0664</f>
        <v>0.11338999999999999</v>
      </c>
      <c r="I20" s="41">
        <v>5</v>
      </c>
      <c r="J20" s="41">
        <f t="shared" si="1"/>
        <v>20</v>
      </c>
      <c r="K20" s="41">
        <f t="shared" si="5"/>
        <v>4.6989999999999997E-2</v>
      </c>
      <c r="L20" s="41">
        <f t="shared" si="5"/>
        <v>4.6989999999999997E-2</v>
      </c>
      <c r="M20" s="41">
        <v>8.7459999999999996E-2</v>
      </c>
      <c r="N20" s="41">
        <v>8.8300000000000003E-2</v>
      </c>
      <c r="O20" s="41">
        <v>8.4489999999999996E-2</v>
      </c>
      <c r="P20" s="41">
        <v>9.1840000000000005E-2</v>
      </c>
      <c r="Q20" s="41">
        <v>8.634E-2</v>
      </c>
      <c r="R20" s="41">
        <v>8.3809999999999996E-2</v>
      </c>
      <c r="S20" s="41">
        <v>8.3150000000000002E-2</v>
      </c>
      <c r="U20" s="41">
        <v>0</v>
      </c>
      <c r="V20" s="41">
        <v>0</v>
      </c>
      <c r="W20" s="41">
        <f>0.10633+0.06525</f>
        <v>0.17158000000000001</v>
      </c>
      <c r="Z20" s="41">
        <v>0</v>
      </c>
      <c r="AA20" s="41">
        <v>0</v>
      </c>
      <c r="AB20" s="41">
        <f>0.04605+0.06525</f>
        <v>0.11130000000000001</v>
      </c>
      <c r="AD20" s="41">
        <v>5</v>
      </c>
      <c r="AE20" s="41">
        <f t="shared" si="2"/>
        <v>20</v>
      </c>
      <c r="AF20" s="41">
        <f t="shared" si="6"/>
        <v>4.6050000000000001E-2</v>
      </c>
      <c r="AG20" s="41">
        <f t="shared" si="6"/>
        <v>4.6050000000000001E-2</v>
      </c>
      <c r="AH20" s="41">
        <v>8.2890000000000005E-2</v>
      </c>
      <c r="AI20" s="41">
        <v>8.3690000000000001E-2</v>
      </c>
      <c r="AJ20" s="41">
        <v>8.0079999999999998E-2</v>
      </c>
      <c r="AK20" s="41">
        <v>8.7040000000000006E-2</v>
      </c>
      <c r="AL20" s="41">
        <v>8.183E-2</v>
      </c>
      <c r="AM20" s="41">
        <v>7.9430000000000001E-2</v>
      </c>
      <c r="AN20" s="41">
        <v>7.8799999999999995E-2</v>
      </c>
      <c r="AP20" s="41">
        <v>0</v>
      </c>
      <c r="AQ20" s="41">
        <v>0</v>
      </c>
      <c r="AR20" s="41">
        <f>0.09674+0.0612</f>
        <v>0.15794</v>
      </c>
      <c r="AU20" s="41">
        <v>0</v>
      </c>
      <c r="AV20" s="41">
        <v>0</v>
      </c>
      <c r="AW20" s="41">
        <f>0.04277+0.0612</f>
        <v>0.10397000000000001</v>
      </c>
      <c r="AY20" s="41">
        <v>5</v>
      </c>
      <c r="AZ20" s="41">
        <f t="shared" si="3"/>
        <v>20</v>
      </c>
      <c r="BA20" s="41">
        <v>4.2770000000000002E-2</v>
      </c>
      <c r="BB20" s="41">
        <v>4.2770000000000002E-2</v>
      </c>
      <c r="BC20" s="41">
        <v>7.7340000000000006E-2</v>
      </c>
      <c r="BD20" s="41">
        <v>7.8079999999999997E-2</v>
      </c>
      <c r="BE20" s="41">
        <v>7.4709999999999999E-2</v>
      </c>
      <c r="BF20" s="41">
        <v>8.1210000000000004E-2</v>
      </c>
      <c r="BG20" s="41">
        <v>7.6350000000000001E-2</v>
      </c>
      <c r="BH20" s="41">
        <v>7.4109999999999995E-2</v>
      </c>
      <c r="BI20" s="41">
        <v>7.3520000000000002E-2</v>
      </c>
      <c r="BK20" s="41">
        <v>0</v>
      </c>
      <c r="BL20" s="41">
        <v>0</v>
      </c>
      <c r="BM20" s="41">
        <f>0.04025+0.05516</f>
        <v>9.5409999999999995E-2</v>
      </c>
      <c r="BP20" s="41">
        <v>0</v>
      </c>
      <c r="BQ20" s="41">
        <v>0</v>
      </c>
      <c r="BR20" s="41">
        <f>0.08809+0.05516</f>
        <v>0.14324999999999999</v>
      </c>
      <c r="BT20" s="41">
        <v>5</v>
      </c>
      <c r="BU20" s="41">
        <f t="shared" si="4"/>
        <v>20</v>
      </c>
      <c r="BV20" s="41">
        <v>4.0250000000000001E-2</v>
      </c>
      <c r="BW20" s="41">
        <v>4.0250000000000001E-2</v>
      </c>
      <c r="BX20" s="41">
        <v>7.1730000000000002E-2</v>
      </c>
      <c r="BY20" s="41">
        <v>7.2419999999999998E-2</v>
      </c>
      <c r="BZ20" s="41">
        <v>6.93E-2</v>
      </c>
      <c r="CA20" s="41">
        <v>7.5329999999999994E-2</v>
      </c>
      <c r="CB20" s="41">
        <v>7.0809999999999998E-2</v>
      </c>
      <c r="CC20" s="41">
        <v>6.8739999999999996E-2</v>
      </c>
      <c r="CD20" s="41">
        <v>6.8199999999999997E-2</v>
      </c>
      <c r="CE20" s="41">
        <f t="shared" si="7"/>
        <v>0.11105999999999999</v>
      </c>
      <c r="CF20" s="41">
        <v>0</v>
      </c>
      <c r="CG20" s="41">
        <f>CF20/ts</f>
        <v>0</v>
      </c>
      <c r="CH20" s="41">
        <f>0.09451+0.10587</f>
        <v>0.20038</v>
      </c>
      <c r="CJ20" s="41">
        <v>0</v>
      </c>
      <c r="CK20" s="41">
        <f>CJ20/ts</f>
        <v>0</v>
      </c>
      <c r="CL20" s="41">
        <f>0.09596+0.07992</f>
        <v>0.17588000000000001</v>
      </c>
      <c r="CN20" s="41">
        <v>0</v>
      </c>
      <c r="CO20" s="41">
        <f>CN20/ts</f>
        <v>0</v>
      </c>
      <c r="CP20" s="41">
        <f>0.07922+0.06719</f>
        <v>0.14640999999999998</v>
      </c>
      <c r="CR20" s="39"/>
      <c r="CS20" s="45" t="s">
        <v>54</v>
      </c>
      <c r="CT20" s="41" t="s">
        <v>117</v>
      </c>
      <c r="CU20" s="41">
        <f>CU23+CU22/CU21</f>
        <v>2.4809999999999999</v>
      </c>
      <c r="CV20" s="41">
        <f>CU20/mo</f>
        <v>8.1344262295081959E-2</v>
      </c>
      <c r="CX20" s="41" t="s">
        <v>54</v>
      </c>
      <c r="CY20" s="41" t="s">
        <v>279</v>
      </c>
      <c r="CZ20" s="41">
        <f>CZ23+CZ22/CZ21</f>
        <v>3.8212000000000002</v>
      </c>
      <c r="DA20" s="41">
        <f>CZ20/30</f>
        <v>0.12737333333333334</v>
      </c>
      <c r="DG20" s="41" t="s">
        <v>124</v>
      </c>
      <c r="DH20" s="41" t="s">
        <v>125</v>
      </c>
      <c r="DI20" s="41">
        <v>4.75</v>
      </c>
      <c r="DJ20" s="41">
        <f>DI20/mo</f>
        <v>0.15573770491803279</v>
      </c>
      <c r="DL20" s="41">
        <v>0</v>
      </c>
      <c r="DM20" s="41">
        <f>DL20/$B$1</f>
        <v>0</v>
      </c>
      <c r="DN20" s="41">
        <v>0.29025000000000001</v>
      </c>
      <c r="DP20" s="41" t="s">
        <v>124</v>
      </c>
      <c r="DQ20" s="41" t="s">
        <v>129</v>
      </c>
      <c r="DR20" s="41">
        <v>17.47</v>
      </c>
      <c r="DS20" s="41">
        <f>DR20/mo</f>
        <v>0.5727868852459016</v>
      </c>
      <c r="DU20" s="41" t="s">
        <v>124</v>
      </c>
      <c r="DV20" s="41" t="s">
        <v>133</v>
      </c>
      <c r="DW20" s="41">
        <f>26.07+32.9</f>
        <v>58.97</v>
      </c>
      <c r="DX20" s="41">
        <f>DW20/mo</f>
        <v>1.9334426229508197</v>
      </c>
      <c r="DZ20" s="41" t="s">
        <v>124</v>
      </c>
      <c r="EA20" s="41" t="s">
        <v>138</v>
      </c>
      <c r="EB20" s="41">
        <f>11.06+3.04</f>
        <v>14.100000000000001</v>
      </c>
      <c r="EC20" s="41">
        <f>EB20/mo+0.62</f>
        <v>1.0822950819672132</v>
      </c>
      <c r="EE20" s="41" t="s">
        <v>124</v>
      </c>
      <c r="EF20" s="41" t="s">
        <v>133</v>
      </c>
      <c r="EG20" s="41">
        <f>28.04+30.06</f>
        <v>58.099999999999994</v>
      </c>
      <c r="EH20" s="41">
        <f>EG20/mo</f>
        <v>1.9049180327868851</v>
      </c>
      <c r="EJ20" s="41" t="s">
        <v>124</v>
      </c>
      <c r="EK20" s="41" t="s">
        <v>138</v>
      </c>
      <c r="EL20" s="41">
        <f>12.88+3.08</f>
        <v>15.96</v>
      </c>
      <c r="EM20" s="41">
        <f>EL20/mo+0.64</f>
        <v>1.1632786885245903</v>
      </c>
      <c r="FG20" s="39"/>
      <c r="FN20" s="41">
        <v>4</v>
      </c>
      <c r="FO20" s="41">
        <f t="shared" si="36"/>
        <v>16</v>
      </c>
      <c r="FP20" s="41">
        <f t="shared" si="37"/>
        <v>1.4300000000000003E-3</v>
      </c>
      <c r="FQ20" s="41">
        <v>1.149E-2</v>
      </c>
      <c r="FR20" s="41">
        <f>55.9286272857143/(1000)</f>
        <v>5.5928627285714301E-2</v>
      </c>
      <c r="FS20" s="41">
        <f>45.17522655/(1000)</f>
        <v>4.5175226549999996E-2</v>
      </c>
      <c r="FT20" s="41">
        <f>35.1238847826087/(1000)</f>
        <v>3.5123884782608701E-2</v>
      </c>
      <c r="FU20" s="41">
        <f>47.5409711428571/(1000)</f>
        <v>4.7540971142857102E-2</v>
      </c>
      <c r="FV20" s="41">
        <f>48.251579/(1000)</f>
        <v>4.8251579000000003E-2</v>
      </c>
      <c r="FW20" s="41">
        <f>46.6407892272727/(1000)</f>
        <v>4.6640789227272696E-2</v>
      </c>
      <c r="FX20" s="41">
        <f>48.4646408095238/(1000)</f>
        <v>4.8464640809523798E-2</v>
      </c>
      <c r="FY20" s="41">
        <f>56.4655750869565/(1000)</f>
        <v>5.6465575086956502E-2</v>
      </c>
      <c r="FZ20" s="41">
        <f>47.6093567272727/(1000)</f>
        <v>4.7609356727272699E-2</v>
      </c>
      <c r="GA20" s="41">
        <f>36.5404577619048/(1000)</f>
        <v>3.6540457761904795E-2</v>
      </c>
      <c r="GB20" s="41">
        <f>32.5608250909091/(1000)</f>
        <v>3.2560825090909101E-2</v>
      </c>
      <c r="GC20" s="41">
        <f>28.5061528695652/(1000)</f>
        <v>2.8506152869565198E-2</v>
      </c>
      <c r="GD20" s="41">
        <f t="shared" si="38"/>
        <v>6.2715090462756418E-2</v>
      </c>
      <c r="GE20" s="41">
        <f t="shared" si="39"/>
        <v>5.4123465560444901E-2</v>
      </c>
      <c r="GF20" s="41">
        <f t="shared" si="40"/>
        <v>5.6987340527882062E-2</v>
      </c>
      <c r="GH20" s="59">
        <v>0</v>
      </c>
      <c r="GI20" s="55">
        <v>0</v>
      </c>
      <c r="GJ20" s="55">
        <f>0.00957+0.001234+0.000047-0.000001+0+0.0049+0.0001+0.00604+0.021</f>
        <v>4.2889999999999998E-2</v>
      </c>
      <c r="GK20" s="55">
        <f>0.085417+0.001346+0.001264+0.003757+0.000068+0.002267625+0.0018765+0.00138177778</f>
        <v>9.7377902779999997E-2</v>
      </c>
      <c r="GL20" s="55">
        <f>SUM(GJ20:GK20)</f>
        <v>0.14026790278000001</v>
      </c>
      <c r="GN20" s="55"/>
      <c r="GO20" s="55"/>
      <c r="GP20" s="55" t="s">
        <v>442</v>
      </c>
      <c r="GQ20" s="55" t="s">
        <v>450</v>
      </c>
      <c r="GR20" s="55"/>
      <c r="GT20" s="41">
        <v>4</v>
      </c>
      <c r="GU20" s="41">
        <f t="shared" si="41"/>
        <v>16</v>
      </c>
      <c r="GV20" s="55">
        <f t="shared" si="42"/>
        <v>4.2889999999999998E-2</v>
      </c>
      <c r="GW20" s="55">
        <f t="shared" si="43"/>
        <v>1.2379268000000001E-2</v>
      </c>
      <c r="GX20" s="41">
        <f>107.023333333333/(1000)</f>
        <v>0.107023333333333</v>
      </c>
      <c r="GY20" s="41">
        <f>85.2927272727273/(1000)</f>
        <v>8.5292727272727312E-2</v>
      </c>
      <c r="GZ20" s="41">
        <f>51.2867272727273/(1000)</f>
        <v>5.1286727272727296E-2</v>
      </c>
      <c r="HA20" s="41">
        <f>53.4556521739131/(1000)</f>
        <v>5.3455652173913099E-2</v>
      </c>
      <c r="HB20" s="41">
        <f>57.5980769230769/(1000)</f>
        <v>5.7598076923076905E-2</v>
      </c>
      <c r="HC20" s="41">
        <f>56.946875/(1000)</f>
        <v>5.6946875000000001E-2</v>
      </c>
      <c r="HD20" s="41">
        <f>60.4145098039216/(1000)</f>
        <v>6.0414509803921594E-2</v>
      </c>
      <c r="HE20" s="41">
        <f>69.1306382978724/(1000)</f>
        <v>6.9130638297872388E-2</v>
      </c>
      <c r="HF20" s="41">
        <f>57.8661111111111/(1000)</f>
        <v>5.7866111111111104E-2</v>
      </c>
      <c r="HG20" s="41">
        <f>43.2984444444445/(1000)</f>
        <v>4.32984444444445E-2</v>
      </c>
      <c r="HH20" s="41">
        <f>42.3972549019608/(1000)</f>
        <v>4.23972549019608E-2</v>
      </c>
      <c r="HI20" s="41">
        <f>39.031568627451/(1000)</f>
        <v>3.9031568627451003E-2</v>
      </c>
      <c r="HJ20" s="41">
        <f t="shared" si="44"/>
        <v>0.11635880155322627</v>
      </c>
      <c r="HK20" s="41">
        <f t="shared" si="45"/>
        <v>0.11519224111870424</v>
      </c>
      <c r="HL20" s="41">
        <f t="shared" si="46"/>
        <v>0.11558109459687825</v>
      </c>
      <c r="HN20" s="45">
        <v>5</v>
      </c>
      <c r="HO20" s="41">
        <f t="shared" si="13"/>
        <v>20</v>
      </c>
      <c r="HP20" s="55">
        <f t="shared" si="14"/>
        <v>7.3499999999999998E-4</v>
      </c>
      <c r="HQ20" s="55">
        <f t="shared" si="15"/>
        <v>7.2500000000000004E-3</v>
      </c>
      <c r="HR20" s="41">
        <f>29.4964285714286/(1000)</f>
        <v>2.9496428571428597E-2</v>
      </c>
      <c r="HS20" s="41">
        <f>37.549125/(1000)</f>
        <v>3.7549124999999996E-2</v>
      </c>
      <c r="HT20" s="41">
        <f>32.0985869565217/(1000)</f>
        <v>3.2098586956521701E-2</v>
      </c>
      <c r="HU20" s="41">
        <f>40.9627380952381/(1000)</f>
        <v>4.0962738095238101E-2</v>
      </c>
      <c r="HV20" s="41">
        <f>52.1343181818182/(1000)</f>
        <v>5.2134318181818198E-2</v>
      </c>
      <c r="HW20" s="41">
        <f>52.7231818181818/(1000)</f>
        <v>5.2723181818181801E-2</v>
      </c>
      <c r="HX20" s="41">
        <f>47.8821428571429/(1000)</f>
        <v>4.7882142857142901E-2</v>
      </c>
      <c r="HY20" s="41">
        <f>67.2686956521739/(1000)</f>
        <v>6.7268695652173902E-2</v>
      </c>
      <c r="HZ20" s="41">
        <f>51.4578409090909/(1000)</f>
        <v>5.1457840909090898E-2</v>
      </c>
      <c r="IA20" s="41">
        <f>39.6527380952381/(1000)</f>
        <v>3.9652738095238102E-2</v>
      </c>
      <c r="IB20" s="41">
        <f>42.2485869565217/(1000)</f>
        <v>4.22485869565217E-2</v>
      </c>
      <c r="IC20" s="41">
        <f>23.4616304347826/(1000)</f>
        <v>2.3461630434782599E-2</v>
      </c>
      <c r="ID20" s="41">
        <f>SUM(HP20:HQ20)+AVERAGE(HW20:HZ20)*125%</f>
        <v>7.6526206636434224E-2</v>
      </c>
      <c r="IE20" s="41">
        <f t="shared" si="17"/>
        <v>5.4485648795554523E-2</v>
      </c>
      <c r="IF20" s="41">
        <f t="shared" si="18"/>
        <v>6.1832501409181083E-2</v>
      </c>
      <c r="IH20" s="45">
        <v>5</v>
      </c>
      <c r="II20" s="41">
        <f t="shared" si="19"/>
        <v>20</v>
      </c>
      <c r="IJ20" s="55">
        <f t="shared" si="20"/>
        <v>6.3699999999999998E-4</v>
      </c>
      <c r="IK20" s="55">
        <f t="shared" si="21"/>
        <v>7.2500000000000004E-3</v>
      </c>
      <c r="IL20" s="41">
        <f>29.4858333333333/(1000)</f>
        <v>2.9485833333333301E-2</v>
      </c>
      <c r="IM20" s="41">
        <f>35.220625/(1000)</f>
        <v>3.5220624999999998E-2</v>
      </c>
      <c r="IN20" s="41">
        <f>25.8833695652174/(1000)</f>
        <v>2.58833695652174E-2</v>
      </c>
      <c r="IO20" s="41">
        <f>36.2796428571429/(1000)</f>
        <v>3.6279642857142906E-2</v>
      </c>
      <c r="IP20" s="41">
        <f>48.6144318181818/(1000)</f>
        <v>4.86144318181818E-2</v>
      </c>
      <c r="IQ20" s="41">
        <f>51.9168181818182/(1000)</f>
        <v>5.1916818181818203E-2</v>
      </c>
      <c r="IR20" s="41">
        <f>47.917619047619/(1000)</f>
        <v>4.7917619047619001E-2</v>
      </c>
      <c r="IS20" s="41">
        <f>67.4379347826087/(1000)</f>
        <v>6.7437934782608705E-2</v>
      </c>
      <c r="IT20" s="41">
        <f>51.0661363636364/(1000)</f>
        <v>5.1066136363636404E-2</v>
      </c>
      <c r="IU20" s="41">
        <f>37.2902380952381/(1000)</f>
        <v>3.7290238095238105E-2</v>
      </c>
      <c r="IV20" s="41">
        <f>38.9492391304348/(1000)</f>
        <v>3.8949239130434798E-2</v>
      </c>
      <c r="IW20" s="41">
        <f>21.9921739130435/(1000)</f>
        <v>2.1992173913043502E-2</v>
      </c>
      <c r="IX20" s="41">
        <f>SUM(IJ20:IK20)+AVERAGE(IQ20:IT20)*125%</f>
        <v>7.6117783867400729E-2</v>
      </c>
      <c r="IY20" s="41">
        <f t="shared" si="23"/>
        <v>5.065505526759246E-2</v>
      </c>
      <c r="IZ20" s="41">
        <f t="shared" si="24"/>
        <v>5.9142631467528552E-2</v>
      </c>
      <c r="JB20" s="45">
        <v>5</v>
      </c>
      <c r="JC20" s="41">
        <f t="shared" si="25"/>
        <v>20</v>
      </c>
      <c r="JD20" s="55">
        <v>4.1340000000000002E-2</v>
      </c>
      <c r="JE20" s="55">
        <f t="shared" si="26"/>
        <v>7.2500000000000004E-3</v>
      </c>
      <c r="JF20" s="41">
        <f>30.6986904761905/(1000)</f>
        <v>3.0698690476190501E-2</v>
      </c>
      <c r="JG20" s="41">
        <f>30.330375/(1000)</f>
        <v>3.0330375E-2</v>
      </c>
      <c r="JH20" s="41">
        <f>25.0960869565217/(1000)</f>
        <v>2.5096086956521699E-2</v>
      </c>
      <c r="JI20" s="41">
        <f>34.4886904761905/(1000)</f>
        <v>3.4488690476190499E-2</v>
      </c>
      <c r="JJ20" s="41">
        <f>47.0906818181818/(1000)</f>
        <v>4.7090681818181802E-2</v>
      </c>
      <c r="JK20" s="41">
        <f>51.8429545454545/(1000)</f>
        <v>5.1842954545454505E-2</v>
      </c>
      <c r="JL20" s="41">
        <f>47.9494047619048/(1000)</f>
        <v>4.7949404761904804E-2</v>
      </c>
      <c r="JM20" s="41">
        <f>66.8134782608696/(1000)</f>
        <v>6.6813478260869599E-2</v>
      </c>
      <c r="JN20" s="41">
        <f>51.8914772727273/(1000)</f>
        <v>5.1891477272727297E-2</v>
      </c>
      <c r="JO20" s="41">
        <f>39.8135714285714/(1000)</f>
        <v>3.98135714285714E-2</v>
      </c>
      <c r="JP20" s="41">
        <f>34.1675/(1000)</f>
        <v>3.4167499999999996E-2</v>
      </c>
      <c r="JQ20" s="41">
        <f>20.4928260869565/(1000)</f>
        <v>2.0492826086956503E-2</v>
      </c>
      <c r="JR20" s="41">
        <f>SUM(JD20:JE20)+AVERAGE(JK20:JN20)*125%</f>
        <v>0.11687041088779881</v>
      </c>
      <c r="JS20" s="41">
        <f t="shared" si="28"/>
        <v>8.955537847540819E-2</v>
      </c>
      <c r="JT20" s="41">
        <f>SUM(JD20:JE20)+AVERAGE(JF20:JQ20)*125%</f>
        <v>9.8660389279538407E-2</v>
      </c>
      <c r="JV20" s="41">
        <v>5</v>
      </c>
      <c r="JW20" s="41">
        <f t="shared" si="30"/>
        <v>20</v>
      </c>
      <c r="JX20" s="55">
        <f t="shared" si="31"/>
        <v>3.5310000000000001E-2</v>
      </c>
      <c r="JY20" s="55">
        <f t="shared" si="32"/>
        <v>7.2500000000000004E-3</v>
      </c>
      <c r="JZ20" s="41">
        <f>30.6986904761905/(1000)</f>
        <v>3.0698690476190501E-2</v>
      </c>
      <c r="KA20" s="41">
        <f>30.330375/(1000)</f>
        <v>3.0330375E-2</v>
      </c>
      <c r="KB20" s="41">
        <f>25.0960869565217/(1000)</f>
        <v>2.5096086956521699E-2</v>
      </c>
      <c r="KC20" s="41">
        <f>34.4886904761905/(1000)</f>
        <v>3.4488690476190499E-2</v>
      </c>
      <c r="KD20" s="41">
        <f>47.0906818181818/(1000)</f>
        <v>4.7090681818181802E-2</v>
      </c>
      <c r="KE20" s="41">
        <f>51.8429545454545/(1000)</f>
        <v>5.1842954545454505E-2</v>
      </c>
      <c r="KF20" s="41">
        <f>47.9494047619048/(1000)</f>
        <v>4.7949404761904804E-2</v>
      </c>
      <c r="KG20" s="41">
        <f>66.8134782608696/(1000)</f>
        <v>6.6813478260869599E-2</v>
      </c>
      <c r="KH20" s="41">
        <f>51.8914772727273/(1000)</f>
        <v>5.1891477272727297E-2</v>
      </c>
      <c r="KI20" s="41">
        <f>39.8135714285714/(1000)</f>
        <v>3.98135714285714E-2</v>
      </c>
      <c r="KJ20" s="41">
        <f>34.1675/(1000)</f>
        <v>3.4167499999999996E-2</v>
      </c>
      <c r="KK20" s="41">
        <f>20.4928260869565/(1000)</f>
        <v>2.0492826086956503E-2</v>
      </c>
      <c r="KL20" s="41">
        <f>SUM(JX20:JY20)+AVERAGE(KE20:KH20)*125%</f>
        <v>0.11084041088779881</v>
      </c>
      <c r="KM20" s="41">
        <f t="shared" si="34"/>
        <v>8.3525378475408196E-2</v>
      </c>
      <c r="KN20" s="41">
        <f>SUM(JX20:JY20)+AVERAGE(JZ20:KK20)*125%</f>
        <v>9.26303892795384E-2</v>
      </c>
    </row>
    <row r="21" spans="1:305">
      <c r="A21" s="41">
        <v>16</v>
      </c>
      <c r="B21" s="41">
        <v>64</v>
      </c>
      <c r="C21" s="41">
        <f>0.18194+0.14977</f>
        <v>0.33170999999999995</v>
      </c>
      <c r="E21" s="41">
        <v>16</v>
      </c>
      <c r="F21" s="41">
        <v>64</v>
      </c>
      <c r="G21" s="41">
        <f>0.08218+0.1022</f>
        <v>0.18437999999999999</v>
      </c>
      <c r="I21" s="41">
        <v>6</v>
      </c>
      <c r="J21" s="41">
        <f t="shared" si="1"/>
        <v>24</v>
      </c>
      <c r="K21" s="41">
        <f t="shared" si="5"/>
        <v>4.6989999999999997E-2</v>
      </c>
      <c r="L21" s="41">
        <f t="shared" si="5"/>
        <v>4.6989999999999997E-2</v>
      </c>
      <c r="M21" s="41">
        <v>9.4899999999999998E-2</v>
      </c>
      <c r="N21" s="41">
        <v>9.3630000000000005E-2</v>
      </c>
      <c r="O21" s="41">
        <v>8.4449999999999997E-2</v>
      </c>
      <c r="P21" s="41">
        <v>0.10355</v>
      </c>
      <c r="Q21" s="41">
        <v>9.6799999999999997E-2</v>
      </c>
      <c r="R21" s="41">
        <v>8.5639999999999994E-2</v>
      </c>
      <c r="S21" s="41">
        <v>8.3860000000000004E-2</v>
      </c>
      <c r="U21" s="41">
        <v>16</v>
      </c>
      <c r="V21" s="41">
        <v>64</v>
      </c>
      <c r="W21" s="41">
        <f>0.14696+0.10038</f>
        <v>0.24734</v>
      </c>
      <c r="Z21" s="41">
        <v>16</v>
      </c>
      <c r="AA21" s="41">
        <v>64</v>
      </c>
      <c r="AB21" s="41">
        <f>0.04605+0.10038</f>
        <v>0.14643</v>
      </c>
      <c r="AD21" s="41">
        <v>6</v>
      </c>
      <c r="AE21" s="41">
        <f t="shared" si="2"/>
        <v>24</v>
      </c>
      <c r="AF21" s="41">
        <f t="shared" si="6"/>
        <v>4.6050000000000001E-2</v>
      </c>
      <c r="AG21" s="41">
        <f t="shared" si="6"/>
        <v>4.6050000000000001E-2</v>
      </c>
      <c r="AH21" s="41">
        <v>8.9940000000000006E-2</v>
      </c>
      <c r="AI21" s="41">
        <v>8.8730000000000003E-2</v>
      </c>
      <c r="AJ21" s="41">
        <v>8.004E-2</v>
      </c>
      <c r="AK21" s="41">
        <v>9.8140000000000005E-2</v>
      </c>
      <c r="AL21" s="41">
        <v>9.1740000000000002E-2</v>
      </c>
      <c r="AM21" s="41">
        <v>8.1159999999999996E-2</v>
      </c>
      <c r="AN21" s="41">
        <v>7.9469999999999999E-2</v>
      </c>
      <c r="AP21" s="41">
        <v>16</v>
      </c>
      <c r="AQ21" s="41">
        <v>64</v>
      </c>
      <c r="AR21" s="41">
        <f>0.14671+0.09309</f>
        <v>0.23980000000000001</v>
      </c>
      <c r="AU21" s="41">
        <v>16</v>
      </c>
      <c r="AV21" s="41">
        <v>64</v>
      </c>
      <c r="AW21" s="41">
        <f>0.04277+0.09309</f>
        <v>0.13586000000000001</v>
      </c>
      <c r="AY21" s="41">
        <v>6</v>
      </c>
      <c r="AZ21" s="41">
        <f t="shared" si="3"/>
        <v>24</v>
      </c>
      <c r="BA21" s="41">
        <v>4.2770000000000002E-2</v>
      </c>
      <c r="BB21" s="41">
        <v>4.2770000000000002E-2</v>
      </c>
      <c r="BC21" s="41">
        <v>8.3919999999999995E-2</v>
      </c>
      <c r="BD21" s="41">
        <v>8.2790000000000002E-2</v>
      </c>
      <c r="BE21" s="41">
        <v>7.467E-2</v>
      </c>
      <c r="BF21" s="41">
        <v>9.1569999999999999E-2</v>
      </c>
      <c r="BG21" s="41">
        <v>8.5589999999999999E-2</v>
      </c>
      <c r="BH21" s="41">
        <v>7.5719999999999996E-2</v>
      </c>
      <c r="BI21" s="41">
        <v>7.4149999999999994E-2</v>
      </c>
      <c r="BK21" s="41">
        <v>16</v>
      </c>
      <c r="BL21" s="41">
        <v>64</v>
      </c>
      <c r="BM21" s="41">
        <f>0.04025+0.0867</f>
        <v>0.12695000000000001</v>
      </c>
      <c r="BP21" s="41">
        <v>16</v>
      </c>
      <c r="BQ21" s="41">
        <v>64</v>
      </c>
      <c r="BR21" s="41">
        <f>0.14065+0.0867</f>
        <v>0.22735</v>
      </c>
      <c r="BT21" s="41">
        <v>6</v>
      </c>
      <c r="BU21" s="41">
        <f t="shared" si="4"/>
        <v>24</v>
      </c>
      <c r="BV21" s="41">
        <v>4.0250000000000001E-2</v>
      </c>
      <c r="BW21" s="41">
        <v>4.0250000000000001E-2</v>
      </c>
      <c r="BX21" s="41">
        <v>7.7840000000000006E-2</v>
      </c>
      <c r="BY21" s="41">
        <v>7.6789999999999997E-2</v>
      </c>
      <c r="BZ21" s="41">
        <v>6.9260000000000002E-2</v>
      </c>
      <c r="CA21" s="41">
        <v>8.4930000000000005E-2</v>
      </c>
      <c r="CB21" s="41">
        <v>7.9390000000000002E-2</v>
      </c>
      <c r="CC21" s="41">
        <v>7.0239999999999997E-2</v>
      </c>
      <c r="CD21" s="41">
        <v>6.8769999999999998E-2</v>
      </c>
      <c r="CE21" s="41">
        <f t="shared" si="7"/>
        <v>0.11964</v>
      </c>
      <c r="CF21" s="41">
        <v>16</v>
      </c>
      <c r="CG21" s="41">
        <f>CF21/ts</f>
        <v>64</v>
      </c>
      <c r="CH21" s="41">
        <f>0.28607+0.14977</f>
        <v>0.43584000000000001</v>
      </c>
      <c r="CJ21" s="41">
        <v>16</v>
      </c>
      <c r="CK21" s="41">
        <f>CJ21/ts</f>
        <v>64</v>
      </c>
      <c r="CL21" s="41">
        <f>0.29298+0.10038</f>
        <v>0.39336000000000004</v>
      </c>
      <c r="CN21" s="41">
        <v>16</v>
      </c>
      <c r="CO21" s="41">
        <f>CN21/ts</f>
        <v>64</v>
      </c>
      <c r="CP21" s="41">
        <f>0.24768+0.0867</f>
        <v>0.33438000000000001</v>
      </c>
      <c r="CT21" s="41" t="s">
        <v>113</v>
      </c>
      <c r="CU21" s="41">
        <v>10</v>
      </c>
      <c r="CY21" s="41" t="s">
        <v>113</v>
      </c>
      <c r="CZ21" s="41">
        <v>50</v>
      </c>
      <c r="DC21" s="39" t="s">
        <v>48</v>
      </c>
      <c r="DD21" s="39" t="s">
        <v>49</v>
      </c>
      <c r="DE21" s="39" t="s">
        <v>121</v>
      </c>
      <c r="DG21" s="39" t="s">
        <v>48</v>
      </c>
      <c r="DH21" s="39" t="s">
        <v>49</v>
      </c>
      <c r="DI21" s="39" t="s">
        <v>121</v>
      </c>
      <c r="DL21" s="41">
        <v>16</v>
      </c>
      <c r="DM21" s="41">
        <f>DL21/$B$1</f>
        <v>64</v>
      </c>
      <c r="DN21" s="41">
        <v>0.30998999999999999</v>
      </c>
      <c r="DP21" s="39" t="s">
        <v>48</v>
      </c>
      <c r="DQ21" s="39" t="s">
        <v>49</v>
      </c>
      <c r="DR21" s="39" t="s">
        <v>121</v>
      </c>
      <c r="DU21" s="39" t="s">
        <v>48</v>
      </c>
      <c r="DV21" s="39" t="s">
        <v>49</v>
      </c>
      <c r="DW21" s="39" t="s">
        <v>121</v>
      </c>
      <c r="DZ21" s="39" t="s">
        <v>48</v>
      </c>
      <c r="EA21" s="39" t="s">
        <v>49</v>
      </c>
      <c r="EB21" s="39" t="s">
        <v>121</v>
      </c>
      <c r="EE21" s="39" t="s">
        <v>48</v>
      </c>
      <c r="EF21" s="39" t="s">
        <v>49</v>
      </c>
      <c r="EG21" s="39" t="s">
        <v>121</v>
      </c>
      <c r="EJ21" s="39" t="s">
        <v>48</v>
      </c>
      <c r="EK21" s="39" t="s">
        <v>49</v>
      </c>
      <c r="EL21" s="39" t="s">
        <v>121</v>
      </c>
      <c r="EN21" s="43" t="s">
        <v>48</v>
      </c>
      <c r="EO21" s="39" t="s">
        <v>49</v>
      </c>
      <c r="EP21" s="39" t="s">
        <v>77</v>
      </c>
      <c r="ES21" s="39" t="s">
        <v>48</v>
      </c>
      <c r="ET21" s="39" t="s">
        <v>49</v>
      </c>
      <c r="EU21" s="39" t="s">
        <v>77</v>
      </c>
      <c r="EX21" s="39" t="s">
        <v>48</v>
      </c>
      <c r="EY21" s="39" t="s">
        <v>49</v>
      </c>
      <c r="EZ21" s="39" t="s">
        <v>77</v>
      </c>
      <c r="FC21" s="39" t="s">
        <v>48</v>
      </c>
      <c r="FD21" s="39" t="s">
        <v>49</v>
      </c>
      <c r="FE21" s="39" t="s">
        <v>77</v>
      </c>
      <c r="FH21" s="43"/>
      <c r="FN21" s="41">
        <v>5</v>
      </c>
      <c r="FO21" s="41">
        <f t="shared" si="36"/>
        <v>20</v>
      </c>
      <c r="FP21" s="41">
        <f t="shared" si="37"/>
        <v>1.4300000000000003E-3</v>
      </c>
      <c r="FQ21" s="41">
        <v>1.149E-2</v>
      </c>
      <c r="FR21" s="41">
        <f>60.3059569047619/(1000)</f>
        <v>6.0305956904761898E-2</v>
      </c>
      <c r="FS21" s="41">
        <f>48.93036575/(1000)</f>
        <v>4.8930365750000003E-2</v>
      </c>
      <c r="FT21" s="41">
        <f>38.2298902608696/(1000)</f>
        <v>3.8229890260869599E-2</v>
      </c>
      <c r="FU21" s="41">
        <f>50.8389212380952/(1000)</f>
        <v>5.0838921238095205E-2</v>
      </c>
      <c r="FV21" s="41">
        <f>51.7069930454545/(1000)</f>
        <v>5.1706993045454501E-2</v>
      </c>
      <c r="FW21" s="41">
        <f>49.4115071818182/(1000)</f>
        <v>4.94115071818182E-2</v>
      </c>
      <c r="FX21" s="41">
        <f>52.135256/(1000)</f>
        <v>5.2135255999999998E-2</v>
      </c>
      <c r="FY21" s="41">
        <f>61.9721574347826/(1000)</f>
        <v>6.1972157434782599E-2</v>
      </c>
      <c r="FZ21" s="41">
        <f>51.8852634090909/(1000)</f>
        <v>5.1885263409090901E-2</v>
      </c>
      <c r="GA21" s="41">
        <f>39.4948234761905/(1000)</f>
        <v>3.9494823476190495E-2</v>
      </c>
      <c r="GB21" s="41">
        <f>34.6983312272727/(1000)</f>
        <v>3.4698331227272707E-2</v>
      </c>
      <c r="GC21" s="41">
        <f>30.7498440434783/(1000)</f>
        <v>3.0749844043478303E-2</v>
      </c>
      <c r="GD21" s="41">
        <f t="shared" si="38"/>
        <v>6.6771046006422918E-2</v>
      </c>
      <c r="GE21" s="41">
        <f t="shared" si="39"/>
        <v>5.7289390743265341E-2</v>
      </c>
      <c r="GF21" s="41">
        <f t="shared" si="40"/>
        <v>6.0449942497651211E-2</v>
      </c>
      <c r="GH21" s="59" t="s">
        <v>444</v>
      </c>
      <c r="GI21" s="55" t="s">
        <v>446</v>
      </c>
      <c r="GJ21" s="55">
        <f>24.59+0.16+0.2+0.36+0.01+2.37</f>
        <v>27.69</v>
      </c>
      <c r="GK21" s="55">
        <f>GJ21/mo</f>
        <v>0.90786885245901638</v>
      </c>
      <c r="GL21" s="55"/>
      <c r="GN21" s="60" t="s">
        <v>48</v>
      </c>
      <c r="GO21" s="60" t="s">
        <v>49</v>
      </c>
      <c r="GP21" s="60" t="s">
        <v>432</v>
      </c>
      <c r="GQ21" s="60" t="s">
        <v>451</v>
      </c>
      <c r="GR21" s="60" t="s">
        <v>53</v>
      </c>
      <c r="GT21" s="41">
        <v>5</v>
      </c>
      <c r="GU21" s="41">
        <f t="shared" si="41"/>
        <v>20</v>
      </c>
      <c r="GV21" s="55">
        <f t="shared" si="42"/>
        <v>4.2889999999999998E-2</v>
      </c>
      <c r="GW21" s="55">
        <f t="shared" si="43"/>
        <v>1.2379268000000001E-2</v>
      </c>
      <c r="GX21" s="41">
        <f>114.52/(1000)</f>
        <v>0.11452</v>
      </c>
      <c r="GY21" s="41">
        <f>90.1065909090909/(1000)</f>
        <v>9.01065909090909E-2</v>
      </c>
      <c r="GZ21" s="41">
        <f>53.7103636363636/(1000)</f>
        <v>5.3710363636363605E-2</v>
      </c>
      <c r="HA21" s="41">
        <f>57.2645652173913/(1000)</f>
        <v>5.7264565217391303E-2</v>
      </c>
      <c r="HB21" s="41">
        <f>61.1776923076923/(1000)</f>
        <v>6.1177692307692294E-2</v>
      </c>
      <c r="HC21" s="41">
        <f>58.9647916666667/(1000)</f>
        <v>5.8964791666666697E-2</v>
      </c>
      <c r="HD21" s="41">
        <f>62.2582352941177/(1000)</f>
        <v>6.2258235294117704E-2</v>
      </c>
      <c r="HE21" s="41">
        <f>72.7078723404255/(1000)</f>
        <v>7.27078723404255E-2</v>
      </c>
      <c r="HF21" s="41">
        <f>61.2664814814815/(1000)</f>
        <v>6.1266481481481498E-2</v>
      </c>
      <c r="HG21" s="41">
        <f>47.3937777777778/(1000)</f>
        <v>4.7393777777777799E-2</v>
      </c>
      <c r="HH21" s="41">
        <f>46.1211764705882/(1000)</f>
        <v>4.61211764705882E-2</v>
      </c>
      <c r="HI21" s="41">
        <f>40.6633333333333/(1000)</f>
        <v>4.0663333333333301E-2</v>
      </c>
      <c r="HJ21" s="41">
        <f t="shared" si="44"/>
        <v>0.11906861319567284</v>
      </c>
      <c r="HK21" s="41">
        <f t="shared" si="45"/>
        <v>0.11913895545652968</v>
      </c>
      <c r="HL21" s="41">
        <f t="shared" si="46"/>
        <v>0.11911550803624406</v>
      </c>
      <c r="HN21" s="45">
        <v>6</v>
      </c>
      <c r="HO21" s="41">
        <f t="shared" si="13"/>
        <v>24</v>
      </c>
      <c r="HP21" s="55">
        <f t="shared" si="14"/>
        <v>7.3499999999999998E-4</v>
      </c>
      <c r="HQ21" s="55">
        <f t="shared" si="15"/>
        <v>7.2500000000000004E-3</v>
      </c>
      <c r="HR21" s="41">
        <f>52.1683333333333/(1000)</f>
        <v>5.2168333333333303E-2</v>
      </c>
      <c r="HS21" s="41">
        <f>118.348375/(1000)</f>
        <v>0.11834837500000001</v>
      </c>
      <c r="HT21" s="41">
        <f>65.6830434782609/(1000)</f>
        <v>6.56830434782609E-2</v>
      </c>
      <c r="HU21" s="41">
        <f>66.1665476190476/(1000)</f>
        <v>6.6166547619047611E-2</v>
      </c>
      <c r="HV21" s="41">
        <f>63.6273863636364/(1000)</f>
        <v>6.3627386363636393E-2</v>
      </c>
      <c r="HW21" s="41">
        <f>53.57125/(1000)</f>
        <v>5.3571250000000001E-2</v>
      </c>
      <c r="HX21" s="41">
        <f>50.1777380952381/(1000)</f>
        <v>5.0177738095238095E-2</v>
      </c>
      <c r="HY21" s="41">
        <f>75.3194565217391/(1000)</f>
        <v>7.5319456521739103E-2</v>
      </c>
      <c r="HZ21" s="41">
        <f>57.2861363636364/(1000)</f>
        <v>5.72861363636364E-2</v>
      </c>
      <c r="IA21" s="41">
        <f>47.3772619047619/(1000)</f>
        <v>4.7377261904761901E-2</v>
      </c>
      <c r="IB21" s="41">
        <f>47.2505434782609/(1000)</f>
        <v>4.7250543478260902E-2</v>
      </c>
      <c r="IC21" s="41">
        <f>31.2934782608696/(1000)</f>
        <v>3.1293478260869596E-2</v>
      </c>
      <c r="ID21" s="41">
        <f t="shared" si="16"/>
        <v>8.1845806556441747E-2</v>
      </c>
      <c r="IE21" s="41">
        <f t="shared" si="17"/>
        <v>8.4846713974714175E-2</v>
      </c>
      <c r="IF21" s="41">
        <f t="shared" si="18"/>
        <v>8.3846411501956694E-2</v>
      </c>
      <c r="IH21" s="45">
        <v>6</v>
      </c>
      <c r="II21" s="41">
        <f t="shared" si="19"/>
        <v>24</v>
      </c>
      <c r="IJ21" s="55">
        <f t="shared" si="20"/>
        <v>6.3699999999999998E-4</v>
      </c>
      <c r="IK21" s="55">
        <f t="shared" si="21"/>
        <v>7.2500000000000004E-3</v>
      </c>
      <c r="IL21" s="41">
        <f>56.1245238095238/(1000)</f>
        <v>5.6124523809523798E-2</v>
      </c>
      <c r="IM21" s="41">
        <f>117.02/(1000)</f>
        <v>0.11702</v>
      </c>
      <c r="IN21" s="41">
        <f>57.0682608695652/(1000)</f>
        <v>5.70682608695652E-2</v>
      </c>
      <c r="IO21" s="41">
        <f>56.7972619047619/(1000)</f>
        <v>5.6797261904761906E-2</v>
      </c>
      <c r="IP21" s="41">
        <f>59.4218181818182/(1000)</f>
        <v>5.9421818181818201E-2</v>
      </c>
      <c r="IQ21" s="41">
        <f>52.2672727272727/(1000)</f>
        <v>5.2267272727272697E-2</v>
      </c>
      <c r="IR21" s="41">
        <f>50.177380952381/(1000)</f>
        <v>5.0177380952381001E-2</v>
      </c>
      <c r="IS21" s="41">
        <f>75.5492391304348/(1000)</f>
        <v>7.5549239130434792E-2</v>
      </c>
      <c r="IT21" s="41">
        <f>56.7895454545455/(1000)</f>
        <v>5.6789545454545495E-2</v>
      </c>
      <c r="IU21" s="41">
        <f>46.0652380952381/(1000)</f>
        <v>4.6065238095238104E-2</v>
      </c>
      <c r="IV21" s="41">
        <f>46.2877173913043/(1000)</f>
        <v>4.6287717391304301E-2</v>
      </c>
      <c r="IW21" s="41">
        <f>30.0858695652174/(1000)</f>
        <v>3.0085869565217402E-2</v>
      </c>
      <c r="IX21" s="41">
        <f t="shared" ref="IX21:IX37" si="49">SUM(IJ21:IK21)+AVERAGE(IQ21:IT21)*125%</f>
        <v>8.1256824457698135E-2</v>
      </c>
      <c r="IY21" s="41">
        <f t="shared" si="23"/>
        <v>8.1148045283973277E-2</v>
      </c>
      <c r="IZ21" s="41">
        <f t="shared" si="24"/>
        <v>8.118430500854823E-2</v>
      </c>
      <c r="JB21" s="45">
        <v>6</v>
      </c>
      <c r="JC21" s="41">
        <f t="shared" si="25"/>
        <v>24</v>
      </c>
      <c r="JD21" s="55">
        <v>4.1340000000000002E-2</v>
      </c>
      <c r="JE21" s="55">
        <f t="shared" si="26"/>
        <v>7.2500000000000004E-3</v>
      </c>
      <c r="JF21" s="41">
        <f>48.1883333333333/(1000)</f>
        <v>4.8188333333333298E-2</v>
      </c>
      <c r="JG21" s="41">
        <f>108.058/(1000)</f>
        <v>0.108058</v>
      </c>
      <c r="JH21" s="41">
        <f>58.2989130434783/(1000)</f>
        <v>5.8298913043478298E-2</v>
      </c>
      <c r="JI21" s="41">
        <f>54.2795238095238/(1000)</f>
        <v>5.4279523809523805E-2</v>
      </c>
      <c r="JJ21" s="41">
        <f>57.6863636363637/(1000)</f>
        <v>5.7686363636363702E-2</v>
      </c>
      <c r="JK21" s="41">
        <f>52.0309090909091/(1000)</f>
        <v>5.20309090909091E-2</v>
      </c>
      <c r="JL21" s="41">
        <f>50.1777380952381/(1000)</f>
        <v>5.0177738095238095E-2</v>
      </c>
      <c r="JM21" s="41">
        <f>74.5944565217391/(1000)</f>
        <v>7.45944565217391E-2</v>
      </c>
      <c r="JN21" s="41">
        <f>57.7585227272727/(1000)</f>
        <v>5.77585227272727E-2</v>
      </c>
      <c r="JO21" s="41">
        <f>47.5861904761905/(1000)</f>
        <v>4.7586190476190504E-2</v>
      </c>
      <c r="JP21" s="41">
        <f>44.7608695652174/(1000)</f>
        <v>4.4760869565217395E-2</v>
      </c>
      <c r="JQ21" s="41">
        <f>30.1651086956522/(1000)</f>
        <v>3.0165108695652202E-2</v>
      </c>
      <c r="JR21" s="41">
        <f t="shared" ref="JR21:JR22" si="50">SUM(JD21:JE21)+AVERAGE(JK21:JN21)*125%</f>
        <v>0.12189050826098718</v>
      </c>
      <c r="JS21" s="41">
        <f t="shared" si="28"/>
        <v>0.11874989102496239</v>
      </c>
      <c r="JT21" s="41">
        <f t="shared" si="29"/>
        <v>0.11979676343697065</v>
      </c>
      <c r="JV21" s="41">
        <v>6</v>
      </c>
      <c r="JW21" s="41">
        <f t="shared" si="30"/>
        <v>24</v>
      </c>
      <c r="JX21" s="55">
        <f t="shared" si="31"/>
        <v>3.5310000000000001E-2</v>
      </c>
      <c r="JY21" s="55">
        <f t="shared" si="32"/>
        <v>7.2500000000000004E-3</v>
      </c>
      <c r="JZ21" s="41">
        <f>48.1883333333333/(1000)</f>
        <v>4.8188333333333298E-2</v>
      </c>
      <c r="KA21" s="41">
        <f>108.058/(1000)</f>
        <v>0.108058</v>
      </c>
      <c r="KB21" s="41">
        <f>58.2989130434783/(1000)</f>
        <v>5.8298913043478298E-2</v>
      </c>
      <c r="KC21" s="41">
        <f>54.2795238095238/(1000)</f>
        <v>5.4279523809523805E-2</v>
      </c>
      <c r="KD21" s="41">
        <f>57.6863636363637/(1000)</f>
        <v>5.7686363636363702E-2</v>
      </c>
      <c r="KE21" s="41">
        <f>52.0309090909091/(1000)</f>
        <v>5.20309090909091E-2</v>
      </c>
      <c r="KF21" s="41">
        <f>50.1777380952381/(1000)</f>
        <v>5.0177738095238095E-2</v>
      </c>
      <c r="KG21" s="41">
        <f>74.5944565217391/(1000)</f>
        <v>7.45944565217391E-2</v>
      </c>
      <c r="KH21" s="41">
        <f>57.7585227272727/(1000)</f>
        <v>5.77585227272727E-2</v>
      </c>
      <c r="KI21" s="41">
        <f>47.5861904761905/(1000)</f>
        <v>4.7586190476190504E-2</v>
      </c>
      <c r="KJ21" s="41">
        <f>44.7608695652174/(1000)</f>
        <v>4.4760869565217395E-2</v>
      </c>
      <c r="KK21" s="41">
        <f>30.1651086956522/(1000)</f>
        <v>3.0165108695652202E-2</v>
      </c>
      <c r="KL21" s="41">
        <f t="shared" ref="KL21:KL22" si="51">SUM(JX21:JY21)+AVERAGE(KE21:KH21)*125%</f>
        <v>0.11586050826098719</v>
      </c>
      <c r="KM21" s="41">
        <f t="shared" si="34"/>
        <v>0.11271989102496238</v>
      </c>
      <c r="KN21" s="41">
        <f t="shared" ref="KN21:KN22" si="52">SUM(JX21:JY21)+AVERAGE(JZ21:KK21)*125%</f>
        <v>0.11376676343697066</v>
      </c>
    </row>
    <row r="22" spans="1:305">
      <c r="A22" s="41">
        <v>21</v>
      </c>
      <c r="B22" s="41">
        <v>84</v>
      </c>
      <c r="C22" s="41">
        <f>0.11979+0.09496</f>
        <v>0.21475</v>
      </c>
      <c r="E22" s="41">
        <v>21</v>
      </c>
      <c r="F22" s="41">
        <v>84</v>
      </c>
      <c r="G22" s="41">
        <f>0.04699+0.0664</f>
        <v>0.11338999999999999</v>
      </c>
      <c r="I22" s="41">
        <v>7</v>
      </c>
      <c r="J22" s="41">
        <f t="shared" si="1"/>
        <v>28</v>
      </c>
      <c r="K22" s="41">
        <f t="shared" si="5"/>
        <v>4.6989999999999997E-2</v>
      </c>
      <c r="L22" s="41">
        <f t="shared" si="5"/>
        <v>4.6989999999999997E-2</v>
      </c>
      <c r="M22" s="41">
        <v>8.201E-2</v>
      </c>
      <c r="N22" s="41">
        <v>8.1610000000000002E-2</v>
      </c>
      <c r="O22" s="41">
        <v>7.6329999999999995E-2</v>
      </c>
      <c r="P22" s="41">
        <v>0.10077999999999999</v>
      </c>
      <c r="Q22" s="41">
        <v>8.9069999999999996E-2</v>
      </c>
      <c r="R22" s="41">
        <v>7.8090000000000007E-2</v>
      </c>
      <c r="S22" s="41">
        <v>7.5319999999999998E-2</v>
      </c>
      <c r="U22" s="41">
        <v>21</v>
      </c>
      <c r="V22" s="41">
        <v>84</v>
      </c>
      <c r="W22" s="41">
        <f>0.10633+0.06525</f>
        <v>0.17158000000000001</v>
      </c>
      <c r="Z22" s="41">
        <v>21</v>
      </c>
      <c r="AA22" s="41">
        <v>84</v>
      </c>
      <c r="AB22" s="41">
        <f>0.04605+0.06525</f>
        <v>0.11130000000000001</v>
      </c>
      <c r="AD22" s="41">
        <v>7</v>
      </c>
      <c r="AE22" s="41">
        <f t="shared" si="2"/>
        <v>28</v>
      </c>
      <c r="AF22" s="41">
        <f t="shared" si="6"/>
        <v>4.6050000000000001E-2</v>
      </c>
      <c r="AG22" s="41">
        <f t="shared" si="6"/>
        <v>4.6050000000000001E-2</v>
      </c>
      <c r="AH22" s="41">
        <v>7.7719999999999997E-2</v>
      </c>
      <c r="AI22" s="41">
        <v>7.7340000000000006E-2</v>
      </c>
      <c r="AJ22" s="41">
        <v>7.2340000000000002E-2</v>
      </c>
      <c r="AK22" s="41">
        <v>9.5509999999999998E-2</v>
      </c>
      <c r="AL22" s="41">
        <v>8.4419999999999995E-2</v>
      </c>
      <c r="AM22" s="41">
        <v>7.4010000000000006E-2</v>
      </c>
      <c r="AN22" s="41">
        <v>7.1379999999999999E-2</v>
      </c>
      <c r="AP22" s="41">
        <v>21</v>
      </c>
      <c r="AQ22" s="41">
        <v>84</v>
      </c>
      <c r="AR22" s="41">
        <f>0.09674+0.0612</f>
        <v>0.15794</v>
      </c>
      <c r="AU22" s="41">
        <v>21</v>
      </c>
      <c r="AV22" s="41">
        <v>84</v>
      </c>
      <c r="AW22" s="41">
        <f>0.04277+0.0612</f>
        <v>0.10397000000000001</v>
      </c>
      <c r="AY22" s="41">
        <v>7</v>
      </c>
      <c r="AZ22" s="41">
        <f t="shared" si="3"/>
        <v>28</v>
      </c>
      <c r="BA22" s="41">
        <v>4.2770000000000002E-2</v>
      </c>
      <c r="BB22" s="41">
        <v>4.2770000000000002E-2</v>
      </c>
      <c r="BC22" s="41">
        <v>7.2510000000000005E-2</v>
      </c>
      <c r="BD22" s="41">
        <v>7.2160000000000002E-2</v>
      </c>
      <c r="BE22" s="41">
        <v>6.7489999999999994E-2</v>
      </c>
      <c r="BF22" s="41">
        <v>8.9109999999999995E-2</v>
      </c>
      <c r="BG22" s="41">
        <v>7.8759999999999997E-2</v>
      </c>
      <c r="BH22" s="41">
        <v>6.905E-2</v>
      </c>
      <c r="BI22" s="41">
        <v>6.6600000000000006E-2</v>
      </c>
      <c r="BK22" s="41">
        <v>21</v>
      </c>
      <c r="BL22" s="41">
        <v>84</v>
      </c>
      <c r="BM22" s="41">
        <f>0.04025+0.05516</f>
        <v>9.5409999999999995E-2</v>
      </c>
      <c r="BP22" s="41">
        <v>21</v>
      </c>
      <c r="BQ22" s="41">
        <v>84</v>
      </c>
      <c r="BR22" s="41">
        <f>0.08809+0.05516</f>
        <v>0.14324999999999999</v>
      </c>
      <c r="BT22" s="41">
        <v>7</v>
      </c>
      <c r="BU22" s="41">
        <f t="shared" si="4"/>
        <v>28</v>
      </c>
      <c r="BV22" s="41">
        <v>4.0250000000000001E-2</v>
      </c>
      <c r="BW22" s="41">
        <v>4.0250000000000001E-2</v>
      </c>
      <c r="BX22" s="41">
        <v>6.726E-2</v>
      </c>
      <c r="BY22" s="41">
        <v>6.6930000000000003E-2</v>
      </c>
      <c r="BZ22" s="41">
        <v>6.2600000000000003E-2</v>
      </c>
      <c r="CA22" s="41">
        <v>8.2650000000000001E-2</v>
      </c>
      <c r="CB22" s="41">
        <v>7.3050000000000004E-2</v>
      </c>
      <c r="CC22" s="41">
        <v>6.404E-2</v>
      </c>
      <c r="CD22" s="41">
        <v>6.1769999999999999E-2</v>
      </c>
      <c r="CE22" s="41">
        <f t="shared" si="7"/>
        <v>0.11330000000000001</v>
      </c>
      <c r="CF22" s="41">
        <v>21</v>
      </c>
      <c r="CG22" s="41">
        <f>CF22/ts</f>
        <v>84</v>
      </c>
      <c r="CH22" s="41">
        <f>0.09451+0.10587</f>
        <v>0.20038</v>
      </c>
      <c r="CJ22" s="41">
        <v>21</v>
      </c>
      <c r="CK22" s="41">
        <f>CJ22/ts</f>
        <v>84</v>
      </c>
      <c r="CL22" s="41">
        <f>0.09596+0.07992</f>
        <v>0.17588000000000001</v>
      </c>
      <c r="CN22" s="41">
        <v>21</v>
      </c>
      <c r="CO22" s="41">
        <f>CN22/ts</f>
        <v>84</v>
      </c>
      <c r="CP22" s="41">
        <f>0.07922+0.06719</f>
        <v>0.14640999999999998</v>
      </c>
      <c r="CS22" s="43"/>
      <c r="CT22" s="41" t="s">
        <v>114</v>
      </c>
      <c r="CU22" s="41">
        <f>12.41</f>
        <v>12.41</v>
      </c>
      <c r="CX22" s="39"/>
      <c r="CY22" s="41" t="s">
        <v>114</v>
      </c>
      <c r="CZ22" s="41">
        <v>95.56</v>
      </c>
      <c r="DC22" s="41">
        <v>0</v>
      </c>
      <c r="DD22" s="41">
        <f>DC22/$B$1</f>
        <v>0</v>
      </c>
      <c r="DE22" s="41">
        <v>0.29674</v>
      </c>
      <c r="DG22" s="41">
        <v>0</v>
      </c>
      <c r="DH22" s="41">
        <f>DG22/$B$1</f>
        <v>0</v>
      </c>
      <c r="DI22" s="41">
        <v>0.23233999999999999</v>
      </c>
      <c r="DL22" s="41">
        <v>21</v>
      </c>
      <c r="DM22" s="41">
        <f>DL22/$B$1</f>
        <v>84</v>
      </c>
      <c r="DN22" s="41">
        <v>0.29025000000000001</v>
      </c>
      <c r="DP22" s="41">
        <v>0</v>
      </c>
      <c r="DQ22" s="41">
        <f>DP22/$B$1</f>
        <v>0</v>
      </c>
      <c r="DR22" s="41">
        <v>0.20236000000000001</v>
      </c>
      <c r="DU22" s="41">
        <v>0</v>
      </c>
      <c r="DV22" s="41">
        <f>DU22/$B$1</f>
        <v>0</v>
      </c>
      <c r="DW22" s="41">
        <v>0.13236000000000001</v>
      </c>
      <c r="DZ22" s="41">
        <v>0</v>
      </c>
      <c r="EA22" s="41">
        <f>DZ22/$B$1</f>
        <v>0</v>
      </c>
      <c r="EB22" s="41">
        <v>0.14729999999999999</v>
      </c>
      <c r="EE22" s="41">
        <v>0</v>
      </c>
      <c r="EF22" s="41">
        <f>EE22/$B$1</f>
        <v>0</v>
      </c>
      <c r="EG22" s="41">
        <v>0.12672</v>
      </c>
      <c r="EJ22" s="41">
        <v>0</v>
      </c>
      <c r="EK22" s="41">
        <f>EJ22/$B$1</f>
        <v>0</v>
      </c>
      <c r="EL22" s="41">
        <v>0.13627</v>
      </c>
      <c r="EN22" s="45">
        <v>0</v>
      </c>
      <c r="EO22" s="41">
        <f>EN22/$B$1</f>
        <v>0</v>
      </c>
      <c r="EP22" s="41">
        <v>0.10635</v>
      </c>
      <c r="ES22" s="41">
        <v>0</v>
      </c>
      <c r="ET22" s="41">
        <f>ES22/$B$1</f>
        <v>0</v>
      </c>
      <c r="EU22" s="41">
        <v>0.11038000000000001</v>
      </c>
      <c r="EX22" s="41">
        <v>0</v>
      </c>
      <c r="EY22" s="41">
        <f>EX22/$B$1</f>
        <v>0</v>
      </c>
      <c r="EZ22" s="41">
        <v>0.10097</v>
      </c>
      <c r="FC22" s="41">
        <v>0</v>
      </c>
      <c r="FD22" s="41">
        <f>FC22/$B$1</f>
        <v>0</v>
      </c>
      <c r="FE22" s="41">
        <f>0.12729+0.06544</f>
        <v>0.19272999999999998</v>
      </c>
      <c r="FN22" s="41">
        <v>6</v>
      </c>
      <c r="FO22" s="41">
        <f t="shared" si="36"/>
        <v>24</v>
      </c>
      <c r="FP22" s="41">
        <f t="shared" si="37"/>
        <v>1.4300000000000003E-3</v>
      </c>
      <c r="FQ22" s="41">
        <v>1.149E-2</v>
      </c>
      <c r="FR22" s="41">
        <f>76.2762944761905/(1000)</f>
        <v>7.6276294476190498E-2</v>
      </c>
      <c r="FS22" s="41">
        <f>55.32335205/(1000)</f>
        <v>5.5323352049999996E-2</v>
      </c>
      <c r="FT22" s="41">
        <f>51.5981139130435/(1000)</f>
        <v>5.1598113913043496E-2</v>
      </c>
      <c r="FU22" s="41">
        <f>62.1062517619048/(1000)</f>
        <v>6.2106251761904804E-2</v>
      </c>
      <c r="FV22" s="41">
        <f>54.6486555909091/(1000)</f>
        <v>5.4648655590909104E-2</v>
      </c>
      <c r="FW22" s="41">
        <f>55.8906629090909/(1000)</f>
        <v>5.58906629090909E-2</v>
      </c>
      <c r="FX22" s="41">
        <f>58.7722428571429/(1000)</f>
        <v>5.8772242857142901E-2</v>
      </c>
      <c r="FY22" s="41">
        <f>71.1983590869565/(1000)</f>
        <v>7.11983590869565E-2</v>
      </c>
      <c r="FZ22" s="41">
        <f>62.0316176818182/(1000)</f>
        <v>6.2031617681818196E-2</v>
      </c>
      <c r="GA22" s="41">
        <f>50.3047829523809/(1000)</f>
        <v>5.0304782952380896E-2</v>
      </c>
      <c r="GB22" s="41">
        <f>44.8211827272727/(1000)</f>
        <v>4.4821182727272701E-2</v>
      </c>
      <c r="GC22" s="41">
        <f>34.8172070434783/(1000)</f>
        <v>3.48172070434783E-2</v>
      </c>
      <c r="GD22" s="41">
        <f t="shared" si="38"/>
        <v>7.4893220633752131E-2</v>
      </c>
      <c r="GE22" s="41">
        <f t="shared" si="39"/>
        <v>6.6656980064397464E-2</v>
      </c>
      <c r="GF22" s="41">
        <f t="shared" si="40"/>
        <v>6.9402393587515696E-2</v>
      </c>
      <c r="GN22" s="55">
        <v>0</v>
      </c>
      <c r="GO22" s="55">
        <f>GN22/$B$1</f>
        <v>0</v>
      </c>
      <c r="GP22" s="55">
        <f t="shared" ref="GP22:GP24" si="53">0.0079+0.001234+0.000047-0.000001+0+0.0049+0.0001+0.00604+0.021</f>
        <v>4.1220000000000007E-2</v>
      </c>
      <c r="GQ22" s="55">
        <f>0.079902+0.001346+0.001264+0.003757+0.000068+0.002267625+0.0018765+0.00138177778</f>
        <v>9.1862902779999991E-2</v>
      </c>
      <c r="GR22" s="55">
        <f>SUM(GP22:GQ22)</f>
        <v>0.13308290278000001</v>
      </c>
      <c r="GT22" s="41">
        <v>6</v>
      </c>
      <c r="GU22" s="41">
        <f t="shared" si="41"/>
        <v>24</v>
      </c>
      <c r="GV22" s="55">
        <f t="shared" si="42"/>
        <v>4.2889999999999998E-2</v>
      </c>
      <c r="GW22" s="55">
        <f t="shared" si="43"/>
        <v>1.2379268000000001E-2</v>
      </c>
      <c r="GX22" s="41">
        <f>136.612444444444/(1000)</f>
        <v>0.13661244444444401</v>
      </c>
      <c r="GY22" s="41">
        <f>104.122272727273/(1000)</f>
        <v>0.10412227272727299</v>
      </c>
      <c r="GZ22" s="41">
        <f>66.2958181818182/(1000)</f>
        <v>6.6295818181818206E-2</v>
      </c>
      <c r="HA22" s="41">
        <f>70.4208695652174/(1000)</f>
        <v>7.0420869565217398E-2</v>
      </c>
      <c r="HB22" s="41">
        <f>69.6265384615385/(1000)</f>
        <v>6.9626538461538504E-2</v>
      </c>
      <c r="HC22" s="41">
        <f>64.7233333333333/(1000)</f>
        <v>6.4723333333333299E-2</v>
      </c>
      <c r="HD22" s="41">
        <f>67.9117647058823/(1000)</f>
        <v>6.791176470588231E-2</v>
      </c>
      <c r="HE22" s="41">
        <f>80.1102127659574/(1000)</f>
        <v>8.0110212765957395E-2</v>
      </c>
      <c r="HF22" s="41">
        <f>71.2635185185185/(1000)</f>
        <v>7.126351851851849E-2</v>
      </c>
      <c r="HG22" s="41">
        <f>61.1637777777778/(1000)</f>
        <v>6.1163777777777803E-2</v>
      </c>
      <c r="HH22" s="41">
        <f>57.7174509803921/(1000)</f>
        <v>5.7717450980392104E-2</v>
      </c>
      <c r="HI22" s="41">
        <f>47.1980392156863/(1000)</f>
        <v>4.7198039215686299E-2</v>
      </c>
      <c r="HJ22" s="41">
        <f t="shared" si="44"/>
        <v>0.12627147533092287</v>
      </c>
      <c r="HK22" s="41">
        <f t="shared" si="45"/>
        <v>0.13191391941926839</v>
      </c>
      <c r="HL22" s="41">
        <f t="shared" si="46"/>
        <v>0.13003310472315324</v>
      </c>
      <c r="HN22" s="45">
        <v>7</v>
      </c>
      <c r="HO22" s="41">
        <f t="shared" si="13"/>
        <v>28</v>
      </c>
      <c r="HP22" s="55">
        <f t="shared" si="14"/>
        <v>7.3499999999999998E-4</v>
      </c>
      <c r="HQ22" s="55">
        <f t="shared" si="15"/>
        <v>7.2500000000000004E-3</v>
      </c>
      <c r="HR22" s="41">
        <f>61.834880952381/(1000)</f>
        <v>6.1834880952381002E-2</v>
      </c>
      <c r="HS22" s="41">
        <f>153.692875/(1000)</f>
        <v>0.15369287499999998</v>
      </c>
      <c r="HT22" s="41">
        <f>53.8723913043478/(1000)</f>
        <v>5.3872391304347803E-2</v>
      </c>
      <c r="HU22" s="41">
        <f>50.2894047619048/(1000)</f>
        <v>5.0289404761904799E-2</v>
      </c>
      <c r="HV22" s="41">
        <f>66.2653409090909/(1000)</f>
        <v>6.6265340909090892E-2</v>
      </c>
      <c r="HW22" s="41">
        <f>59.7904545454546/(1000)</f>
        <v>5.9790454545454598E-2</v>
      </c>
      <c r="HX22" s="41">
        <f>50.8480952380952/(1000)</f>
        <v>5.0848095238095199E-2</v>
      </c>
      <c r="HY22" s="41">
        <f>72.3384782608696/(1000)</f>
        <v>7.2338478260869601E-2</v>
      </c>
      <c r="HZ22" s="41">
        <f>57.4302272727273/(1000)</f>
        <v>5.7430227272727299E-2</v>
      </c>
      <c r="IA22" s="41">
        <f>50.6594047619048/(1000)</f>
        <v>5.0659404761904801E-2</v>
      </c>
      <c r="IB22" s="41">
        <f>42.9927173913044/(1000)</f>
        <v>4.2992717391304405E-2</v>
      </c>
      <c r="IC22" s="41">
        <f>30.5892391304348/(1000)</f>
        <v>3.0589239130434803E-2</v>
      </c>
      <c r="ID22" s="41">
        <f t="shared" si="16"/>
        <v>8.3112267286608352E-2</v>
      </c>
      <c r="IE22" s="41">
        <f t="shared" si="17"/>
        <v>8.7703164720526319E-2</v>
      </c>
      <c r="IF22" s="41">
        <f t="shared" si="18"/>
        <v>8.6172865575886992E-2</v>
      </c>
      <c r="IH22" s="45">
        <v>7</v>
      </c>
      <c r="II22" s="41">
        <f t="shared" si="19"/>
        <v>28</v>
      </c>
      <c r="IJ22" s="55">
        <f t="shared" si="20"/>
        <v>6.3699999999999998E-4</v>
      </c>
      <c r="IK22" s="55">
        <f t="shared" si="21"/>
        <v>7.2500000000000004E-3</v>
      </c>
      <c r="IL22" s="41">
        <f>70.0516666666667/(1000)</f>
        <v>7.0051666666666706E-2</v>
      </c>
      <c r="IM22" s="41">
        <f>153.003875/(1000)</f>
        <v>0.15300387499999998</v>
      </c>
      <c r="IN22" s="41">
        <f>48.3895652173913/(1000)</f>
        <v>4.8389565217391302E-2</v>
      </c>
      <c r="IO22" s="41">
        <f>46.8908333333333/(1000)</f>
        <v>4.6890833333333298E-2</v>
      </c>
      <c r="IP22" s="41">
        <f>62.9419318181818/(1000)</f>
        <v>6.2941931818181807E-2</v>
      </c>
      <c r="IQ22" s="41">
        <f>51.6018181818182/(1000)</f>
        <v>5.16018181818182E-2</v>
      </c>
      <c r="IR22" s="41">
        <f>50.8954761904762/(1000)</f>
        <v>5.0895476190476199E-2</v>
      </c>
      <c r="IS22" s="41">
        <f>72.7608695652174/(1000)</f>
        <v>7.2760869565217406E-2</v>
      </c>
      <c r="IT22" s="41">
        <f>56.8226136363636/(1000)</f>
        <v>5.6822613636363602E-2</v>
      </c>
      <c r="IU22" s="41">
        <f>49.1558333333333/(1000)</f>
        <v>4.9155833333333301E-2</v>
      </c>
      <c r="IV22" s="41">
        <f>41.8573913043478/(1000)</f>
        <v>4.1857391304347798E-2</v>
      </c>
      <c r="IW22" s="41">
        <f>29.7252173913044/(1000)</f>
        <v>2.97252173913044E-2</v>
      </c>
      <c r="IX22" s="41">
        <f t="shared" si="49"/>
        <v>8.0412242991836066E-2</v>
      </c>
      <c r="IY22" s="41">
        <f t="shared" si="23"/>
        <v>8.6327049072587286E-2</v>
      </c>
      <c r="IZ22" s="41">
        <f t="shared" si="24"/>
        <v>8.4355447045670218E-2</v>
      </c>
      <c r="JB22" s="45">
        <v>7</v>
      </c>
      <c r="JC22" s="41">
        <f t="shared" si="25"/>
        <v>28</v>
      </c>
      <c r="JD22" s="55">
        <v>4.1340000000000002E-2</v>
      </c>
      <c r="JE22" s="55">
        <f t="shared" si="26"/>
        <v>7.2500000000000004E-3</v>
      </c>
      <c r="JF22" s="41">
        <f>57.6330952380952/(1000)</f>
        <v>5.7633095238095199E-2</v>
      </c>
      <c r="JG22" s="41">
        <f>145.55375/(1000)</f>
        <v>0.14555375000000001</v>
      </c>
      <c r="JH22" s="41">
        <f>48.8519565217391/(1000)</f>
        <v>4.8851956521739098E-2</v>
      </c>
      <c r="JI22" s="41">
        <f>44.5383333333333/(1000)</f>
        <v>4.4538333333333298E-2</v>
      </c>
      <c r="JJ22" s="41">
        <f>61.5476136363636/(1000)</f>
        <v>6.1547613636363602E-2</v>
      </c>
      <c r="JK22" s="41">
        <f>53.6526136363636/(1000)</f>
        <v>5.3652613636363596E-2</v>
      </c>
      <c r="JL22" s="41">
        <f>51.065/(1000)</f>
        <v>5.1064999999999999E-2</v>
      </c>
      <c r="JM22" s="41">
        <f>71.2401086956522/(1000)</f>
        <v>7.1240108695652199E-2</v>
      </c>
      <c r="JN22" s="41">
        <f>57.9686363636364/(1000)</f>
        <v>5.7968636363636403E-2</v>
      </c>
      <c r="JO22" s="41">
        <f>51.352380952381/(1000)</f>
        <v>5.1352380952380997E-2</v>
      </c>
      <c r="JP22" s="41">
        <f>41.3217391304348/(1000)</f>
        <v>4.1321739130434798E-2</v>
      </c>
      <c r="JQ22" s="41">
        <f>30.0471739130435/(1000)</f>
        <v>3.0047173913043502E-2</v>
      </c>
      <c r="JR22" s="41">
        <f t="shared" si="50"/>
        <v>0.12169198709239132</v>
      </c>
      <c r="JS22" s="41">
        <f t="shared" si="28"/>
        <v>0.12372219417584226</v>
      </c>
      <c r="JT22" s="41">
        <f t="shared" si="29"/>
        <v>0.12304545848135862</v>
      </c>
      <c r="JV22" s="41">
        <v>7</v>
      </c>
      <c r="JW22" s="41">
        <f t="shared" si="30"/>
        <v>28</v>
      </c>
      <c r="JX22" s="55">
        <f t="shared" si="31"/>
        <v>3.5310000000000001E-2</v>
      </c>
      <c r="JY22" s="55">
        <f t="shared" si="32"/>
        <v>7.2500000000000004E-3</v>
      </c>
      <c r="JZ22" s="41">
        <f>57.6330952380952/(1000)</f>
        <v>5.7633095238095199E-2</v>
      </c>
      <c r="KA22" s="41">
        <f>145.55375/(1000)</f>
        <v>0.14555375000000001</v>
      </c>
      <c r="KB22" s="41">
        <f>48.8519565217391/(1000)</f>
        <v>4.8851956521739098E-2</v>
      </c>
      <c r="KC22" s="41">
        <f>44.5383333333333/(1000)</f>
        <v>4.4538333333333298E-2</v>
      </c>
      <c r="KD22" s="41">
        <f>61.5476136363636/(1000)</f>
        <v>6.1547613636363602E-2</v>
      </c>
      <c r="KE22" s="41">
        <f>53.6526136363636/(1000)</f>
        <v>5.3652613636363596E-2</v>
      </c>
      <c r="KF22" s="41">
        <f>51.065/(1000)</f>
        <v>5.1064999999999999E-2</v>
      </c>
      <c r="KG22" s="41">
        <f>71.2401086956522/(1000)</f>
        <v>7.1240108695652199E-2</v>
      </c>
      <c r="KH22" s="41">
        <f>57.9686363636364/(1000)</f>
        <v>5.7968636363636403E-2</v>
      </c>
      <c r="KI22" s="41">
        <f>51.352380952381/(1000)</f>
        <v>5.1352380952380997E-2</v>
      </c>
      <c r="KJ22" s="41">
        <f>41.3217391304348/(1000)</f>
        <v>4.1321739130434798E-2</v>
      </c>
      <c r="KK22" s="41">
        <f>30.0471739130435/(1000)</f>
        <v>3.0047173913043502E-2</v>
      </c>
      <c r="KL22" s="41">
        <f t="shared" si="51"/>
        <v>0.11566198709239131</v>
      </c>
      <c r="KM22" s="41">
        <f t="shared" si="34"/>
        <v>0.11769219417584226</v>
      </c>
      <c r="KN22" s="41">
        <f t="shared" si="52"/>
        <v>0.11701545848135861</v>
      </c>
    </row>
    <row r="23" spans="1:305">
      <c r="E23" s="41" t="s">
        <v>54</v>
      </c>
      <c r="G23" s="41">
        <v>14.85</v>
      </c>
      <c r="H23" s="41">
        <f>G23/(mo)</f>
        <v>0.48688524590163934</v>
      </c>
      <c r="I23" s="41">
        <v>8</v>
      </c>
      <c r="J23" s="41">
        <f t="shared" si="1"/>
        <v>32</v>
      </c>
      <c r="K23" s="41">
        <f t="shared" si="5"/>
        <v>4.6989999999999997E-2</v>
      </c>
      <c r="L23" s="41">
        <v>4.1889999999999997E-2</v>
      </c>
      <c r="M23" s="41">
        <v>7.5910000000000005E-2</v>
      </c>
      <c r="N23" s="41">
        <v>7.6369999999999993E-2</v>
      </c>
      <c r="O23" s="41">
        <v>6.9879999999999998E-2</v>
      </c>
      <c r="P23" s="41">
        <v>8.4540000000000004E-2</v>
      </c>
      <c r="Q23" s="41">
        <v>7.7689999999999995E-2</v>
      </c>
      <c r="R23" s="41">
        <v>6.4350000000000004E-2</v>
      </c>
      <c r="S23" s="41">
        <v>5.8349999999999999E-2</v>
      </c>
      <c r="U23" s="41" t="s">
        <v>54</v>
      </c>
      <c r="V23" s="41" t="s">
        <v>94</v>
      </c>
      <c r="W23" s="41">
        <f>12.14</f>
        <v>12.14</v>
      </c>
      <c r="X23" s="41">
        <f>W23/(mo)</f>
        <v>0.3980327868852459</v>
      </c>
      <c r="Z23" s="41" t="s">
        <v>54</v>
      </c>
      <c r="AB23" s="41">
        <f>17.57</f>
        <v>17.57</v>
      </c>
      <c r="AC23" s="41">
        <f>AB23/(mo)</f>
        <v>0.57606557377049183</v>
      </c>
      <c r="AD23" s="41">
        <v>8</v>
      </c>
      <c r="AE23" s="41">
        <f t="shared" si="2"/>
        <v>32</v>
      </c>
      <c r="AF23" s="41">
        <f t="shared" si="6"/>
        <v>4.6050000000000001E-2</v>
      </c>
      <c r="AG23" s="41">
        <f t="shared" si="6"/>
        <v>4.6050000000000001E-2</v>
      </c>
      <c r="AH23" s="41">
        <v>7.1940000000000004E-2</v>
      </c>
      <c r="AI23" s="41">
        <v>7.238E-2</v>
      </c>
      <c r="AJ23" s="41">
        <v>6.6229999999999997E-2</v>
      </c>
      <c r="AK23" s="41">
        <v>8.0119999999999997E-2</v>
      </c>
      <c r="AL23" s="41">
        <v>7.3630000000000001E-2</v>
      </c>
      <c r="AM23" s="41">
        <v>6.0990000000000003E-2</v>
      </c>
      <c r="AN23" s="41">
        <v>5.5300000000000002E-2</v>
      </c>
      <c r="AP23" s="41" t="s">
        <v>54</v>
      </c>
      <c r="AQ23" s="41" t="s">
        <v>94</v>
      </c>
      <c r="AR23" s="41">
        <v>12.93</v>
      </c>
      <c r="AS23" s="41">
        <f>AR23/(mo)</f>
        <v>0.42393442622950817</v>
      </c>
      <c r="AU23" s="41" t="s">
        <v>54</v>
      </c>
      <c r="AV23" s="41" t="s">
        <v>94</v>
      </c>
      <c r="AW23" s="41">
        <v>18.940000000000001</v>
      </c>
      <c r="AX23" s="41">
        <f>AW23/(mo)</f>
        <v>0.62098360655737705</v>
      </c>
      <c r="AY23" s="41">
        <v>8</v>
      </c>
      <c r="AZ23" s="41">
        <f t="shared" si="3"/>
        <v>32</v>
      </c>
      <c r="BA23" s="41">
        <v>4.2770000000000002E-2</v>
      </c>
      <c r="BB23" s="41">
        <v>4.2770000000000002E-2</v>
      </c>
      <c r="BC23" s="41">
        <v>6.7119999999999999E-2</v>
      </c>
      <c r="BD23" s="41">
        <v>6.7530000000000007E-2</v>
      </c>
      <c r="BE23" s="41">
        <v>6.1789999999999998E-2</v>
      </c>
      <c r="BF23" s="41">
        <v>7.4749999999999997E-2</v>
      </c>
      <c r="BG23" s="41">
        <v>6.8699999999999997E-2</v>
      </c>
      <c r="BH23" s="41">
        <v>5.6899999999999999E-2</v>
      </c>
      <c r="BI23" s="41">
        <v>5.1589999999999997E-2</v>
      </c>
      <c r="BK23" s="41" t="s">
        <v>54</v>
      </c>
      <c r="BL23" s="41" t="s">
        <v>94</v>
      </c>
      <c r="BM23" s="41">
        <f>19.54</f>
        <v>19.54</v>
      </c>
      <c r="BN23" s="41">
        <f>BM23/(mo)</f>
        <v>0.64065573770491802</v>
      </c>
      <c r="BP23" s="41" t="s">
        <v>54</v>
      </c>
      <c r="BQ23" s="41" t="s">
        <v>94</v>
      </c>
      <c r="BR23" s="41">
        <v>13.42</v>
      </c>
      <c r="BS23" s="41">
        <f>BR23/(mo)</f>
        <v>0.44</v>
      </c>
      <c r="BT23" s="41">
        <v>8</v>
      </c>
      <c r="BU23" s="41">
        <f t="shared" si="4"/>
        <v>32</v>
      </c>
      <c r="BV23" s="41">
        <v>4.0250000000000001E-2</v>
      </c>
      <c r="BW23" s="41">
        <v>4.0250000000000001E-2</v>
      </c>
      <c r="BX23" s="41">
        <v>6.2260000000000003E-2</v>
      </c>
      <c r="BY23" s="41">
        <v>6.2640000000000001E-2</v>
      </c>
      <c r="BZ23" s="41">
        <v>5.731E-2</v>
      </c>
      <c r="CA23" s="41">
        <v>6.9330000000000003E-2</v>
      </c>
      <c r="CB23" s="41">
        <v>6.3719999999999999E-2</v>
      </c>
      <c r="CC23" s="41">
        <v>5.2780000000000001E-2</v>
      </c>
      <c r="CD23" s="41">
        <v>4.7849999999999997E-2</v>
      </c>
      <c r="CE23" s="41">
        <f t="shared" si="7"/>
        <v>0.10397000000000001</v>
      </c>
      <c r="CT23" s="41" t="s">
        <v>115</v>
      </c>
      <c r="CU23" s="41">
        <v>1.24</v>
      </c>
      <c r="CY23" s="41" t="s">
        <v>115</v>
      </c>
      <c r="CZ23" s="41">
        <v>1.91</v>
      </c>
      <c r="DC23" s="41">
        <v>16</v>
      </c>
      <c r="DD23" s="41">
        <f>DC23/$B$1</f>
        <v>64</v>
      </c>
      <c r="DE23" s="41">
        <v>0.31285000000000002</v>
      </c>
      <c r="DG23" s="41">
        <v>9</v>
      </c>
      <c r="DH23" s="41">
        <f>DG23/$B$1</f>
        <v>36</v>
      </c>
      <c r="DI23" s="41">
        <v>0.21592</v>
      </c>
      <c r="DP23" s="41">
        <v>16</v>
      </c>
      <c r="DQ23" s="41">
        <f>DP23/$B$1</f>
        <v>64</v>
      </c>
      <c r="DR23" s="41">
        <v>0.23784</v>
      </c>
      <c r="DU23" s="41">
        <v>16</v>
      </c>
      <c r="DV23" s="41">
        <f>DU23/$B$1</f>
        <v>64</v>
      </c>
      <c r="DW23" s="41">
        <v>0.17235</v>
      </c>
      <c r="DZ23" s="41">
        <v>16</v>
      </c>
      <c r="EA23" s="41">
        <f>DZ23/$B$1</f>
        <v>64</v>
      </c>
      <c r="EB23" s="41">
        <v>0.18962000000000001</v>
      </c>
      <c r="EE23" s="41">
        <v>16</v>
      </c>
      <c r="EF23" s="41">
        <f>EE23/$B$1</f>
        <v>64</v>
      </c>
      <c r="EG23" s="41">
        <v>0.16683999999999999</v>
      </c>
      <c r="EJ23" s="41">
        <v>16</v>
      </c>
      <c r="EK23" s="41">
        <f>EJ23/$B$1</f>
        <v>64</v>
      </c>
      <c r="EL23" s="41">
        <v>0.18</v>
      </c>
      <c r="EN23" s="45">
        <v>14</v>
      </c>
      <c r="EO23" s="41">
        <f>EN23/$B$1</f>
        <v>56</v>
      </c>
      <c r="EP23" s="41">
        <v>0.11207</v>
      </c>
      <c r="ES23" s="41">
        <v>14</v>
      </c>
      <c r="ET23" s="41">
        <f>ES23/$B$1</f>
        <v>56</v>
      </c>
      <c r="EU23" s="41">
        <v>0.11501</v>
      </c>
      <c r="EX23" s="41">
        <v>14</v>
      </c>
      <c r="EY23" s="41">
        <f>EX23/$B$1</f>
        <v>56</v>
      </c>
      <c r="EZ23" s="41">
        <v>0.10442</v>
      </c>
      <c r="FC23" s="41">
        <v>14</v>
      </c>
      <c r="FD23" s="41">
        <f>FC23/$B$1</f>
        <v>56</v>
      </c>
      <c r="FE23" s="41">
        <f>0.12729+0.11656</f>
        <v>0.24384999999999998</v>
      </c>
      <c r="FN23" s="41">
        <v>7</v>
      </c>
      <c r="FO23" s="41">
        <f t="shared" si="36"/>
        <v>28</v>
      </c>
      <c r="FP23" s="41">
        <f t="shared" si="37"/>
        <v>1.4300000000000003E-3</v>
      </c>
      <c r="FQ23" s="41">
        <v>1.149E-2</v>
      </c>
      <c r="FR23" s="41">
        <f>87.8860322380952/(1000)</f>
        <v>8.7886032238095199E-2</v>
      </c>
      <c r="FS23" s="41">
        <f>60.84167075/(1000)</f>
        <v>6.084167075E-2</v>
      </c>
      <c r="FT23" s="41">
        <f>56.3121863043478/(1000)</f>
        <v>5.6312186304347797E-2</v>
      </c>
      <c r="FU23" s="41">
        <f>68.6838204285714/(1000)</f>
        <v>6.8683820428571393E-2</v>
      </c>
      <c r="FV23" s="41">
        <f>59.2896011818182/(1000)</f>
        <v>5.9289601181818197E-2</v>
      </c>
      <c r="FW23" s="41">
        <f>60.2446399090909/(1000)</f>
        <v>6.0244639909090902E-2</v>
      </c>
      <c r="FX23" s="41">
        <f>64.7683078095238/(1000)</f>
        <v>6.4768307809523806E-2</v>
      </c>
      <c r="FY23" s="41">
        <f>75.3656565652174/(1000)</f>
        <v>7.5365656565217404E-2</v>
      </c>
      <c r="FZ23" s="41">
        <f>64.2877534545454/(1000)</f>
        <v>6.428775345454539E-2</v>
      </c>
      <c r="GA23" s="41">
        <f>61.6450448095238/(1000)</f>
        <v>6.1645044809523805E-2</v>
      </c>
      <c r="GB23" s="41">
        <f>49.7856860454546/(1000)</f>
        <v>4.9785686045454594E-2</v>
      </c>
      <c r="GC23" s="41">
        <f>41.3858129130435/(1000)</f>
        <v>4.1385812913043503E-2</v>
      </c>
      <c r="GD23" s="41">
        <f t="shared" si="38"/>
        <v>7.9086589434594373E-2</v>
      </c>
      <c r="GE23" s="41">
        <f t="shared" si="39"/>
        <v>7.3648731833856812E-2</v>
      </c>
      <c r="GF23" s="41">
        <f t="shared" si="40"/>
        <v>7.5461351034102675E-2</v>
      </c>
      <c r="GN23" s="41">
        <v>8</v>
      </c>
      <c r="GO23" s="55">
        <f t="shared" ref="GO23:GO24" si="54">GN23/$B$1</f>
        <v>32</v>
      </c>
      <c r="GP23" s="55">
        <f t="shared" si="53"/>
        <v>4.1220000000000007E-2</v>
      </c>
      <c r="GQ23" s="55">
        <f>0.091633+0.001346+0.001264+0.003757+0.000068+0.002267625+0.0018765+0.00138177778</f>
        <v>0.10359390278</v>
      </c>
      <c r="GR23" s="55">
        <f t="shared" ref="GR23:GR24" si="55">SUM(GP23:GQ23)</f>
        <v>0.14481390278</v>
      </c>
      <c r="GT23" s="41">
        <v>7</v>
      </c>
      <c r="GU23" s="41">
        <f t="shared" si="41"/>
        <v>28</v>
      </c>
      <c r="GV23" s="55">
        <f t="shared" si="42"/>
        <v>4.2889999999999998E-2</v>
      </c>
      <c r="GW23" s="55">
        <f t="shared" si="43"/>
        <v>1.2379268000000001E-2</v>
      </c>
      <c r="GX23" s="41">
        <f>155.837333333333/(1000)</f>
        <v>0.15583733333333299</v>
      </c>
      <c r="GY23" s="41">
        <f>121.270227272727/(1000)</f>
        <v>0.121270227272727</v>
      </c>
      <c r="GZ23" s="41">
        <f>79.6545454545454/(1000)</f>
        <v>7.9654545454545395E-2</v>
      </c>
      <c r="HA23" s="41">
        <f>80.1547826086957/(1000)</f>
        <v>8.0154782608695699E-2</v>
      </c>
      <c r="HB23" s="41">
        <f>76.1826923076923/(1000)</f>
        <v>7.6182692307692312E-2</v>
      </c>
      <c r="HC23" s="41">
        <f>68.9079166666667/(1000)</f>
        <v>6.8907916666666694E-2</v>
      </c>
      <c r="HD23" s="41">
        <f>75.2996078431373/(1000)</f>
        <v>7.5299607843137301E-2</v>
      </c>
      <c r="HE23" s="41">
        <f>87.264255319149/(1000)</f>
        <v>8.7264255319148998E-2</v>
      </c>
      <c r="HF23" s="41">
        <f>76.3542592592593/(1000)</f>
        <v>7.6354259259259288E-2</v>
      </c>
      <c r="HG23" s="41">
        <f>72.8726666666667/(1000)</f>
        <v>7.2872666666666697E-2</v>
      </c>
      <c r="HH23" s="41">
        <f>67.6101960784314/(1000)</f>
        <v>6.7610196078431398E-2</v>
      </c>
      <c r="HI23" s="41">
        <f>53.9594117647059/(1000)</f>
        <v>5.3959411764705895E-2</v>
      </c>
      <c r="HJ23" s="41">
        <f t="shared" si="44"/>
        <v>0.13222577777205308</v>
      </c>
      <c r="HK23" s="41">
        <f t="shared" si="45"/>
        <v>0.14371199993584965</v>
      </c>
      <c r="HL23" s="41">
        <f t="shared" si="46"/>
        <v>0.13988325921458414</v>
      </c>
      <c r="HN23" s="45">
        <v>8</v>
      </c>
      <c r="HO23" s="41">
        <f t="shared" si="13"/>
        <v>32</v>
      </c>
      <c r="HP23" s="55">
        <f t="shared" si="14"/>
        <v>7.3499999999999998E-4</v>
      </c>
      <c r="HQ23" s="55">
        <f t="shared" si="15"/>
        <v>7.2500000000000004E-3</v>
      </c>
      <c r="HR23" s="41">
        <f>44.022380952381/(1000)</f>
        <v>4.4022380952381E-2</v>
      </c>
      <c r="HS23" s="41">
        <f>182.396875/(1000)</f>
        <v>0.18239687499999999</v>
      </c>
      <c r="HT23" s="41">
        <f>42.7517391304348/(1000)</f>
        <v>4.2751739130434799E-2</v>
      </c>
      <c r="HU23" s="41">
        <f>51.9607142857143/(1000)</f>
        <v>5.1960714285714305E-2</v>
      </c>
      <c r="HV23" s="41">
        <f>74.7763636363637/(1000)</f>
        <v>7.4776363636363696E-2</v>
      </c>
      <c r="HW23" s="41">
        <f>59.0936363636364/(1000)</f>
        <v>5.9093636363636397E-2</v>
      </c>
      <c r="HX23" s="41">
        <f>49.8809523809524/(1000)</f>
        <v>4.9880952380952401E-2</v>
      </c>
      <c r="HY23" s="41">
        <f>71.5593478260869/(1000)</f>
        <v>7.1559347826086903E-2</v>
      </c>
      <c r="HZ23" s="41">
        <f>53.1822727272727/(1000)</f>
        <v>5.3182272727272696E-2</v>
      </c>
      <c r="IA23" s="41">
        <f>46.8196428571429/(1000)</f>
        <v>4.68196428571429E-2</v>
      </c>
      <c r="IB23" s="41">
        <f>41.0533695652174/(1000)</f>
        <v>4.10533695652174E-2</v>
      </c>
      <c r="IC23" s="41">
        <f>26.9445652173913/(1000)</f>
        <v>2.69445652173913E-2</v>
      </c>
      <c r="ID23" s="41">
        <f t="shared" si="16"/>
        <v>8.1021315405608876E-2</v>
      </c>
      <c r="IE23" s="41">
        <f t="shared" si="17"/>
        <v>8.7785882913225852E-2</v>
      </c>
      <c r="IF23" s="41">
        <f t="shared" si="18"/>
        <v>8.5531027077353536E-2</v>
      </c>
      <c r="IH23" s="45">
        <v>8</v>
      </c>
      <c r="II23" s="41">
        <f t="shared" si="19"/>
        <v>32</v>
      </c>
      <c r="IJ23" s="55">
        <f t="shared" si="20"/>
        <v>6.3699999999999998E-4</v>
      </c>
      <c r="IK23" s="55">
        <f t="shared" si="21"/>
        <v>7.2500000000000004E-3</v>
      </c>
      <c r="IL23" s="41">
        <f>47.5333333333333/(1000)</f>
        <v>4.7533333333333302E-2</v>
      </c>
      <c r="IM23" s="41">
        <f>183.256/(1000)</f>
        <v>0.183256</v>
      </c>
      <c r="IN23" s="41">
        <f>30.9552173913044/(1000)</f>
        <v>3.0955217391304402E-2</v>
      </c>
      <c r="IO23" s="41">
        <f>43.7736904761905/(1000)</f>
        <v>4.3773690476190501E-2</v>
      </c>
      <c r="IP23" s="41">
        <f>58.4843181818182/(1000)</f>
        <v>5.84843181818182E-2</v>
      </c>
      <c r="IQ23" s="41">
        <f>49.6659090909091/(1000)</f>
        <v>4.9665909090909101E-2</v>
      </c>
      <c r="IR23" s="41">
        <f>49.52/(1000)</f>
        <v>4.9520000000000002E-2</v>
      </c>
      <c r="IS23" s="41">
        <f>71.9334782608696/(1000)</f>
        <v>7.1933478260869613E-2</v>
      </c>
      <c r="IT23" s="41">
        <f>53.0860227272727/(1000)</f>
        <v>5.3086022727272697E-2</v>
      </c>
      <c r="IU23" s="41">
        <f>46.0013095238095/(1000)</f>
        <v>4.60013095238095E-2</v>
      </c>
      <c r="IV23" s="41">
        <f>36.1310869565217/(1000)</f>
        <v>3.6131086956521702E-2</v>
      </c>
      <c r="IW23" s="41">
        <f>25.8901086956522/(1000)</f>
        <v>2.5890108695652198E-2</v>
      </c>
      <c r="IX23" s="41">
        <f>SUM(IJ23:IK23)+AVERAGE(IQ23:IT23)*125%</f>
        <v>7.7951190649703572E-2</v>
      </c>
      <c r="IY23" s="41">
        <f>SUM(IJ23:IK23)+AVERAGE(IL23:IP23,IU23:IW23)*125%</f>
        <v>8.1640916337285915E-2</v>
      </c>
      <c r="IZ23" s="41">
        <f>SUM(IJ23:IK23)+AVERAGE(IL23:IW23)*125%</f>
        <v>8.0411007774758472E-2</v>
      </c>
      <c r="JB23" s="45">
        <v>8</v>
      </c>
      <c r="JC23" s="41">
        <f t="shared" si="25"/>
        <v>32</v>
      </c>
      <c r="JD23" s="55">
        <v>4.1340000000000002E-2</v>
      </c>
      <c r="JE23" s="55">
        <f t="shared" si="26"/>
        <v>7.2500000000000004E-3</v>
      </c>
      <c r="JF23" s="41">
        <f>44.7138095238095/(1000)</f>
        <v>4.4713809523809503E-2</v>
      </c>
      <c r="JG23" s="41">
        <f>174.96375/(1000)</f>
        <v>0.17496375</v>
      </c>
      <c r="JH23" s="41">
        <f>29.0025/(1000)</f>
        <v>2.9002500000000001E-2</v>
      </c>
      <c r="JI23" s="41">
        <f>42.0827380952381/(1000)</f>
        <v>4.2082738095238097E-2</v>
      </c>
      <c r="JJ23" s="41">
        <f>54.6492045454545/(1000)</f>
        <v>5.4649204545454501E-2</v>
      </c>
      <c r="JK23" s="41">
        <f>48.7854545454545/(1000)</f>
        <v>4.87854545454545E-2</v>
      </c>
      <c r="JL23" s="41">
        <f>51.3960714285714/(1000)</f>
        <v>5.1396071428571402E-2</v>
      </c>
      <c r="JM23" s="41">
        <f>70.1678260869565/(1000)</f>
        <v>7.01678260869565E-2</v>
      </c>
      <c r="JN23" s="41">
        <f>53.4088636363636/(1000)</f>
        <v>5.3408863636363602E-2</v>
      </c>
      <c r="JO23" s="41">
        <f>47.1753571428571/(1000)</f>
        <v>4.7175357142857102E-2</v>
      </c>
      <c r="JP23" s="41">
        <f>35.8729347826087/(1000)</f>
        <v>3.5872934782608702E-2</v>
      </c>
      <c r="JQ23" s="41">
        <f>25.8352173913044/(1000)</f>
        <v>2.5835217391304399E-2</v>
      </c>
      <c r="JR23" s="41">
        <f>SUM(JD23:JE23)+AVERAGE(JK23:JN23)*125%</f>
        <v>0.11851444240542061</v>
      </c>
      <c r="JS23" s="41">
        <f>SUM(JD23:JE23)+AVERAGE(JF23:JJ23,JO23:JQ23)*125%</f>
        <v>0.1195736736689488</v>
      </c>
      <c r="JT23" s="41">
        <f>SUM(JD23:JE23)+AVERAGE(JF23:JQ23)*125%</f>
        <v>0.11922059658110606</v>
      </c>
      <c r="JV23" s="41">
        <v>8</v>
      </c>
      <c r="JW23" s="41">
        <f t="shared" si="30"/>
        <v>32</v>
      </c>
      <c r="JX23" s="55">
        <f t="shared" si="31"/>
        <v>3.5310000000000001E-2</v>
      </c>
      <c r="JY23" s="55">
        <f t="shared" si="32"/>
        <v>7.2500000000000004E-3</v>
      </c>
      <c r="JZ23" s="41">
        <f>44.7138095238095/(1000)</f>
        <v>4.4713809523809503E-2</v>
      </c>
      <c r="KA23" s="41">
        <f>174.96375/(1000)</f>
        <v>0.17496375</v>
      </c>
      <c r="KB23" s="41">
        <f>29.0025/(1000)</f>
        <v>2.9002500000000001E-2</v>
      </c>
      <c r="KC23" s="41">
        <f>42.0827380952381/(1000)</f>
        <v>4.2082738095238097E-2</v>
      </c>
      <c r="KD23" s="41">
        <f>54.6492045454545/(1000)</f>
        <v>5.4649204545454501E-2</v>
      </c>
      <c r="KE23" s="41">
        <f>48.7854545454545/(1000)</f>
        <v>4.87854545454545E-2</v>
      </c>
      <c r="KF23" s="41">
        <f>51.3960714285714/(1000)</f>
        <v>5.1396071428571402E-2</v>
      </c>
      <c r="KG23" s="41">
        <f>70.1678260869565/(1000)</f>
        <v>7.01678260869565E-2</v>
      </c>
      <c r="KH23" s="41">
        <f>53.4088636363636/(1000)</f>
        <v>5.3408863636363602E-2</v>
      </c>
      <c r="KI23" s="41">
        <f>47.1753571428571/(1000)</f>
        <v>4.7175357142857102E-2</v>
      </c>
      <c r="KJ23" s="41">
        <f>35.8729347826087/(1000)</f>
        <v>3.5872934782608702E-2</v>
      </c>
      <c r="KK23" s="41">
        <f>25.8352173913044/(1000)</f>
        <v>2.5835217391304399E-2</v>
      </c>
      <c r="KL23" s="41">
        <f>SUM(JX23:JY23)+AVERAGE(KE23:KH23)*125%</f>
        <v>0.11248444240542062</v>
      </c>
      <c r="KM23" s="41">
        <f>SUM(JX23:JY23)+AVERAGE(JZ23:KD23,KI23:KK23)*125%</f>
        <v>0.11354367366894881</v>
      </c>
      <c r="KN23" s="41">
        <f>SUM(JX23:JY23)+AVERAGE(JZ23:KK23)*125%</f>
        <v>0.11319059658110607</v>
      </c>
    </row>
    <row r="24" spans="1:305">
      <c r="I24" s="41">
        <v>9</v>
      </c>
      <c r="J24" s="41">
        <f t="shared" si="1"/>
        <v>36</v>
      </c>
      <c r="K24" s="41">
        <f t="shared" si="5"/>
        <v>4.6989999999999997E-2</v>
      </c>
      <c r="L24" s="41">
        <v>4.1889999999999997E-2</v>
      </c>
      <c r="M24" s="41">
        <v>7.1929999999999994E-2</v>
      </c>
      <c r="N24" s="41">
        <v>7.3050000000000004E-2</v>
      </c>
      <c r="O24" s="41">
        <v>6.4799999999999996E-2</v>
      </c>
      <c r="P24" s="41">
        <v>7.9719999999999999E-2</v>
      </c>
      <c r="Q24" s="41">
        <v>6.9809999999999997E-2</v>
      </c>
      <c r="R24" s="41">
        <v>3.882E-2</v>
      </c>
      <c r="S24" s="41">
        <v>3.9289999999999999E-2</v>
      </c>
      <c r="AD24" s="41">
        <v>9</v>
      </c>
      <c r="AE24" s="41">
        <f t="shared" si="2"/>
        <v>36</v>
      </c>
      <c r="AF24" s="41">
        <f t="shared" si="6"/>
        <v>4.6050000000000001E-2</v>
      </c>
      <c r="AG24" s="41">
        <f t="shared" si="6"/>
        <v>4.6050000000000001E-2</v>
      </c>
      <c r="AH24" s="41">
        <v>6.8169999999999994E-2</v>
      </c>
      <c r="AI24" s="41">
        <v>6.923E-2</v>
      </c>
      <c r="AJ24" s="41">
        <v>6.1409999999999999E-2</v>
      </c>
      <c r="AK24" s="41">
        <v>7.5550000000000006E-2</v>
      </c>
      <c r="AL24" s="41">
        <v>6.6159999999999997E-2</v>
      </c>
      <c r="AM24" s="41">
        <v>3.6799999999999999E-2</v>
      </c>
      <c r="AN24" s="41">
        <v>3.7229999999999999E-2</v>
      </c>
      <c r="AY24" s="41">
        <v>9</v>
      </c>
      <c r="AZ24" s="41">
        <f t="shared" si="3"/>
        <v>36</v>
      </c>
      <c r="BA24" s="41">
        <v>4.2770000000000002E-2</v>
      </c>
      <c r="BB24" s="41">
        <v>4.2770000000000002E-2</v>
      </c>
      <c r="BC24" s="41">
        <v>6.3600000000000004E-2</v>
      </c>
      <c r="BD24" s="41">
        <v>6.4589999999999995E-2</v>
      </c>
      <c r="BE24" s="41">
        <v>5.7290000000000001E-2</v>
      </c>
      <c r="BF24" s="41">
        <v>7.0489999999999997E-2</v>
      </c>
      <c r="BG24" s="41">
        <v>6.173E-2</v>
      </c>
      <c r="BH24" s="41">
        <v>3.4329999999999999E-2</v>
      </c>
      <c r="BI24" s="41">
        <v>3.474E-2</v>
      </c>
      <c r="BT24" s="41">
        <v>9</v>
      </c>
      <c r="BU24" s="41">
        <f t="shared" si="4"/>
        <v>36</v>
      </c>
      <c r="BV24" s="41">
        <v>4.0250000000000001E-2</v>
      </c>
      <c r="BW24" s="41">
        <v>4.0250000000000001E-2</v>
      </c>
      <c r="BX24" s="41">
        <v>5.8990000000000001E-2</v>
      </c>
      <c r="BY24" s="41">
        <v>5.9909999999999998E-2</v>
      </c>
      <c r="BZ24" s="41">
        <v>5.314E-2</v>
      </c>
      <c r="CA24" s="41">
        <v>6.5379999999999994E-2</v>
      </c>
      <c r="CB24" s="41">
        <v>5.7259999999999998E-2</v>
      </c>
      <c r="CC24" s="41">
        <v>0.31840000000000002</v>
      </c>
      <c r="CD24" s="41">
        <v>3.2219999999999999E-2</v>
      </c>
      <c r="CE24" s="41">
        <f t="shared" si="7"/>
        <v>9.7509999999999999E-2</v>
      </c>
      <c r="CT24" s="41" t="s">
        <v>116</v>
      </c>
      <c r="CU24" s="41">
        <v>2.48</v>
      </c>
      <c r="CY24" s="41" t="s">
        <v>116</v>
      </c>
      <c r="CZ24" s="41">
        <v>3.82</v>
      </c>
      <c r="DC24" s="41">
        <v>21</v>
      </c>
      <c r="DD24" s="41">
        <f>DC24/$B$1</f>
        <v>84</v>
      </c>
      <c r="DE24" s="41">
        <v>0.29674</v>
      </c>
      <c r="DG24" s="41">
        <v>14</v>
      </c>
      <c r="DH24" s="41">
        <f>DG24/$B$1</f>
        <v>56</v>
      </c>
      <c r="DI24" s="41">
        <v>0.23233999999999999</v>
      </c>
      <c r="DL24" s="39" t="s">
        <v>48</v>
      </c>
      <c r="DM24" s="39" t="s">
        <v>49</v>
      </c>
      <c r="DN24" s="39" t="s">
        <v>122</v>
      </c>
      <c r="DP24" s="41">
        <v>21</v>
      </c>
      <c r="DQ24" s="41">
        <f>DP24/$B$1</f>
        <v>84</v>
      </c>
      <c r="DR24" s="41">
        <v>0.20236000000000001</v>
      </c>
      <c r="DU24" s="41">
        <v>21</v>
      </c>
      <c r="DV24" s="41">
        <f>DU24/$B$1</f>
        <v>84</v>
      </c>
      <c r="DW24" s="41">
        <v>0.13236000000000001</v>
      </c>
      <c r="DZ24" s="41">
        <v>21</v>
      </c>
      <c r="EA24" s="41">
        <f>DZ24/$B$1</f>
        <v>84</v>
      </c>
      <c r="EB24" s="41">
        <v>0.14729999999999999</v>
      </c>
      <c r="EE24" s="41">
        <v>21</v>
      </c>
      <c r="EF24" s="41">
        <f>EE24/$B$1</f>
        <v>84</v>
      </c>
      <c r="EG24" s="41">
        <v>0.12672</v>
      </c>
      <c r="EJ24" s="41">
        <v>21</v>
      </c>
      <c r="EK24" s="41">
        <f>EJ24/$B$1</f>
        <v>84</v>
      </c>
      <c r="EL24" s="41">
        <v>0.13627</v>
      </c>
      <c r="EM24" s="41">
        <f>12.88/mo</f>
        <v>0.42229508196721316</v>
      </c>
      <c r="EN24" s="45">
        <v>16</v>
      </c>
      <c r="EO24" s="41">
        <f>EN24/$B$1</f>
        <v>64</v>
      </c>
      <c r="EP24" s="41">
        <v>0.22944999999999999</v>
      </c>
      <c r="ES24" s="41">
        <v>16</v>
      </c>
      <c r="ET24" s="41">
        <f>ES24/$B$1</f>
        <v>64</v>
      </c>
      <c r="EU24" s="41">
        <v>0.18945999999999999</v>
      </c>
      <c r="EX24" s="41">
        <v>16</v>
      </c>
      <c r="EY24" s="41">
        <f>EX24/$B$1</f>
        <v>64</v>
      </c>
      <c r="EZ24" s="41">
        <v>0.17177999999999999</v>
      </c>
      <c r="FC24" s="41">
        <v>16</v>
      </c>
      <c r="FD24" s="41">
        <f>FC24/$B$1</f>
        <v>64</v>
      </c>
      <c r="FE24" s="41">
        <f>0.12729+0.34164</f>
        <v>0.46892999999999996</v>
      </c>
      <c r="FN24" s="41">
        <v>8</v>
      </c>
      <c r="FO24" s="41">
        <f t="shared" si="36"/>
        <v>32</v>
      </c>
      <c r="FP24" s="41">
        <f t="shared" si="37"/>
        <v>1.4300000000000003E-3</v>
      </c>
      <c r="FQ24" s="41">
        <v>1.149E-2</v>
      </c>
      <c r="FR24" s="41">
        <f>72.3359782380953/(1000)</f>
        <v>7.2335978238095289E-2</v>
      </c>
      <c r="FS24" s="41">
        <f>50.66242775/(1000)</f>
        <v>5.0662427750000003E-2</v>
      </c>
      <c r="FT24" s="41">
        <f>44.7792826956522/(1000)</f>
        <v>4.4779282695652199E-2</v>
      </c>
      <c r="FU24" s="41">
        <f>63.2221418095238/(1000)</f>
        <v>6.3222141809523805E-2</v>
      </c>
      <c r="FV24" s="41">
        <f>60.3015017272727/(1000)</f>
        <v>6.0301501727272701E-2</v>
      </c>
      <c r="FW24" s="41">
        <f>62.5399188181818/(1000)</f>
        <v>6.25399188181818E-2</v>
      </c>
      <c r="FX24" s="41">
        <f>71.9887603809524/(1000)</f>
        <v>7.1988760380952393E-2</v>
      </c>
      <c r="FY24" s="41">
        <f>78.6435470869565/(1000)</f>
        <v>7.8643547086956506E-2</v>
      </c>
      <c r="FZ24" s="41">
        <f>62.8710171363636/(1000)</f>
        <v>6.2871017136363602E-2</v>
      </c>
      <c r="GA24" s="41">
        <f>53.2089342380952/(1000)</f>
        <v>5.3208934238095203E-2</v>
      </c>
      <c r="GB24" s="41">
        <f>41.8241925454545/(1000)</f>
        <v>4.1824192545454504E-2</v>
      </c>
      <c r="GC24" s="41">
        <f>35.8239151304348/(1000)</f>
        <v>3.58239151304348E-2</v>
      </c>
      <c r="GD24" s="41">
        <f t="shared" si="38"/>
        <v>8.1930810855613573E-2</v>
      </c>
      <c r="GE24" s="41">
        <f t="shared" si="39"/>
        <v>6.5689796766816064E-2</v>
      </c>
      <c r="GF24" s="41">
        <f t="shared" si="40"/>
        <v>7.1103468129748576E-2</v>
      </c>
      <c r="GN24" s="41">
        <v>22</v>
      </c>
      <c r="GO24" s="55">
        <f t="shared" si="54"/>
        <v>88</v>
      </c>
      <c r="GP24" s="55">
        <f t="shared" si="53"/>
        <v>4.1220000000000007E-2</v>
      </c>
      <c r="GQ24" s="55">
        <f>0.079902+0.001346+0.001264+0.003757+0.000068+0.002267625+0.0018765+0.00138177778</f>
        <v>9.1862902779999991E-2</v>
      </c>
      <c r="GR24" s="55">
        <f t="shared" si="55"/>
        <v>0.13308290278000001</v>
      </c>
      <c r="GT24" s="41">
        <v>8</v>
      </c>
      <c r="GU24" s="41">
        <f t="shared" si="41"/>
        <v>32</v>
      </c>
      <c r="GV24" s="55">
        <f t="shared" si="42"/>
        <v>4.2889999999999998E-2</v>
      </c>
      <c r="GW24" s="55">
        <f t="shared" si="43"/>
        <v>1.2379268000000001E-2</v>
      </c>
      <c r="GX24" s="41">
        <f>159.202666666667/(1000)</f>
        <v>0.15920266666666699</v>
      </c>
      <c r="GY24" s="41">
        <f>122.252954545455/(1000)</f>
        <v>0.122252954545455</v>
      </c>
      <c r="GZ24" s="41">
        <f>73.9572727272727/(1000)</f>
        <v>7.3957272727272691E-2</v>
      </c>
      <c r="HA24" s="41">
        <f>80.6071739130435/(1000)</f>
        <v>8.0607173913043492E-2</v>
      </c>
      <c r="HB24" s="41">
        <f>81.5323076923077/(1000)</f>
        <v>8.1532307692307696E-2</v>
      </c>
      <c r="HC24" s="41">
        <f>71.914375/(1000)</f>
        <v>7.1914375000000003E-2</v>
      </c>
      <c r="HD24" s="41">
        <f>84.4176470588235/(1000)</f>
        <v>8.44176470588235E-2</v>
      </c>
      <c r="HE24" s="41">
        <f>95.4421276595745/(1000)</f>
        <v>9.5442127659574494E-2</v>
      </c>
      <c r="HF24" s="41">
        <f>79.4311111111111/(1000)</f>
        <v>7.9431111111111091E-2</v>
      </c>
      <c r="HG24" s="41">
        <f>71.164/(1000)</f>
        <v>7.1164000000000005E-2</v>
      </c>
      <c r="HH24" s="41">
        <f>64.658431372549/(1000)</f>
        <v>6.4658431372549008E-2</v>
      </c>
      <c r="HI24" s="41">
        <f>53.8182352941176/(1000)</f>
        <v>5.3818235294117597E-2</v>
      </c>
      <c r="HJ24" s="41">
        <f t="shared" si="44"/>
        <v>0.13807058320737725</v>
      </c>
      <c r="HK24" s="41">
        <f t="shared" si="45"/>
        <v>0.14366839827642655</v>
      </c>
      <c r="HL24" s="41">
        <f t="shared" si="46"/>
        <v>0.14180245992007678</v>
      </c>
      <c r="HN24" s="45">
        <v>9</v>
      </c>
      <c r="HO24" s="41">
        <f t="shared" si="13"/>
        <v>36</v>
      </c>
      <c r="HP24" s="55">
        <f t="shared" si="14"/>
        <v>7.3499999999999998E-4</v>
      </c>
      <c r="HQ24" s="55">
        <f t="shared" si="15"/>
        <v>7.2500000000000004E-3</v>
      </c>
      <c r="HR24" s="41">
        <f>32.0939285714286/(1000)</f>
        <v>3.20939285714286E-2</v>
      </c>
      <c r="HS24" s="41">
        <f>194.94625/(1000)</f>
        <v>0.19494624999999999</v>
      </c>
      <c r="HT24" s="41">
        <f>41.0729347826087/(1000)</f>
        <v>4.1072934782608699E-2</v>
      </c>
      <c r="HU24" s="41">
        <f>50.2217857142857/(1000)</f>
        <v>5.0221785714285698E-2</v>
      </c>
      <c r="HV24" s="41">
        <f>70.2854545454545/(1000)</f>
        <v>7.0285454545454498E-2</v>
      </c>
      <c r="HW24" s="41">
        <f>68.53875/(1000)</f>
        <v>6.8538749999999996E-2</v>
      </c>
      <c r="HX24" s="41">
        <f>50.0289285714286/(1000)</f>
        <v>5.0028928571428599E-2</v>
      </c>
      <c r="HY24" s="41">
        <f>69.5803260869565/(1000)</f>
        <v>6.9580326086956509E-2</v>
      </c>
      <c r="HZ24" s="41">
        <f>51.1777272727273/(1000)</f>
        <v>5.1177727272727305E-2</v>
      </c>
      <c r="IA24" s="41">
        <f>40.6176190476191/(1000)</f>
        <v>4.0617619047619104E-2</v>
      </c>
      <c r="IB24" s="41">
        <f>43.120652173913/(1000)</f>
        <v>4.3120652173913004E-2</v>
      </c>
      <c r="IC24" s="41">
        <f>27.7690217391304/(1000)</f>
        <v>2.7769021739130401E-2</v>
      </c>
      <c r="ID24" s="41">
        <f t="shared" si="16"/>
        <v>8.277429122847263E-2</v>
      </c>
      <c r="IE24" s="41">
        <f t="shared" si="17"/>
        <v>8.6129944777256259E-2</v>
      </c>
      <c r="IF24" s="41">
        <f t="shared" si="18"/>
        <v>8.5011393594328383E-2</v>
      </c>
      <c r="IH24" s="45">
        <v>9</v>
      </c>
      <c r="II24" s="41">
        <f t="shared" si="19"/>
        <v>36</v>
      </c>
      <c r="IJ24" s="55">
        <f t="shared" si="20"/>
        <v>6.3699999999999998E-4</v>
      </c>
      <c r="IK24" s="55">
        <f t="shared" si="21"/>
        <v>7.2500000000000004E-3</v>
      </c>
      <c r="IL24" s="41">
        <f>37.3422619047619/(1000)</f>
        <v>3.7342261904761899E-2</v>
      </c>
      <c r="IM24" s="41">
        <f>196.1825/(1000)</f>
        <v>0.19618250000000001</v>
      </c>
      <c r="IN24" s="41">
        <f>29.9641304347826/(1000)</f>
        <v>2.9964130434782601E-2</v>
      </c>
      <c r="IO24" s="41">
        <f>38.092380952381/(1000)</f>
        <v>3.8092380952381003E-2</v>
      </c>
      <c r="IP24" s="41">
        <f>54.94/(1000)</f>
        <v>5.4939999999999996E-2</v>
      </c>
      <c r="IQ24" s="41">
        <f>48.9070454545455/(1000)</f>
        <v>4.8907045454545495E-2</v>
      </c>
      <c r="IR24" s="41">
        <f>49.8339285714286/(1000)</f>
        <v>4.9833928571428598E-2</v>
      </c>
      <c r="IS24" s="41">
        <f>69.5948913043478/(1000)</f>
        <v>6.9594891304347803E-2</v>
      </c>
      <c r="IT24" s="41">
        <f>50.6346590909091/(1000)</f>
        <v>5.0634659090909105E-2</v>
      </c>
      <c r="IU24" s="41">
        <f>39.2020238095238/(1000)</f>
        <v>3.9202023809523805E-2</v>
      </c>
      <c r="IV24" s="41">
        <f>38.6980434782609/(1000)</f>
        <v>3.8698043478260898E-2</v>
      </c>
      <c r="IW24" s="41">
        <f>25.6871739130435/(1000)</f>
        <v>2.5687173913043503E-2</v>
      </c>
      <c r="IX24" s="41">
        <f t="shared" si="49"/>
        <v>7.6315288881634705E-2</v>
      </c>
      <c r="IY24" s="41">
        <f t="shared" si="23"/>
        <v>7.9778955389492756E-2</v>
      </c>
      <c r="IZ24" s="41">
        <f t="shared" si="24"/>
        <v>7.8624399886873406E-2</v>
      </c>
      <c r="JB24" s="45">
        <v>9</v>
      </c>
      <c r="JC24" s="41">
        <f t="shared" si="25"/>
        <v>36</v>
      </c>
      <c r="JD24" s="55">
        <v>4.1340000000000002E-2</v>
      </c>
      <c r="JE24" s="55">
        <f t="shared" si="26"/>
        <v>7.2500000000000004E-3</v>
      </c>
      <c r="JF24" s="41">
        <f>33.9530952380952/(1000)</f>
        <v>3.3953095238095199E-2</v>
      </c>
      <c r="JG24" s="41">
        <f>189.19275/(1000)</f>
        <v>0.18919274999999999</v>
      </c>
      <c r="JH24" s="41">
        <f>27.7620652173913/(1000)</f>
        <v>2.7762065217391298E-2</v>
      </c>
      <c r="JI24" s="41">
        <f>36.5816666666667/(1000)</f>
        <v>3.65816666666667E-2</v>
      </c>
      <c r="JJ24" s="41">
        <f>51.1228409090909/(1000)</f>
        <v>5.1122840909090896E-2</v>
      </c>
      <c r="JK24" s="41">
        <f>48.0886363636364/(1000)</f>
        <v>4.8088636363636396E-2</v>
      </c>
      <c r="JL24" s="41">
        <f>52.3932142857143/(1000)</f>
        <v>5.23932142857143E-2</v>
      </c>
      <c r="JM24" s="41">
        <f>66.8070652173913/(1000)</f>
        <v>6.6807065217391298E-2</v>
      </c>
      <c r="JN24" s="41">
        <f>51.7901136363636/(1000)</f>
        <v>5.1790113636363599E-2</v>
      </c>
      <c r="JO24" s="41">
        <f>39.5054761904762/(1000)</f>
        <v>3.9505476190476202E-2</v>
      </c>
      <c r="JP24" s="41">
        <f>37.9228260869565/(1000)</f>
        <v>3.7922826086956497E-2</v>
      </c>
      <c r="JQ24" s="41">
        <f>25.3844565217391/(1000)</f>
        <v>2.53844565217391E-2</v>
      </c>
      <c r="JR24" s="41">
        <f t="shared" ref="JR24:JR37" si="56">SUM(JD24:JE24)+AVERAGE(JK24:JN24)*125%</f>
        <v>0.1170521967197205</v>
      </c>
      <c r="JS24" s="41">
        <f t="shared" ref="JS24:JS37" si="57">SUM(JD24:JE24)+AVERAGE(JF24:JJ24,JO24:JQ24)*125%</f>
        <v>0.11756268387975249</v>
      </c>
      <c r="JT24" s="41">
        <f t="shared" ref="JT24:JT29" si="58">SUM(JD24:JE24)+AVERAGE(JF24:JQ24)*125%</f>
        <v>0.11739252149307516</v>
      </c>
      <c r="JV24" s="41">
        <v>9</v>
      </c>
      <c r="JW24" s="41">
        <f t="shared" si="30"/>
        <v>36</v>
      </c>
      <c r="JX24" s="55">
        <f t="shared" si="31"/>
        <v>3.5310000000000001E-2</v>
      </c>
      <c r="JY24" s="55">
        <f t="shared" si="32"/>
        <v>7.2500000000000004E-3</v>
      </c>
      <c r="JZ24" s="41">
        <f>33.9530952380952/(1000)</f>
        <v>3.3953095238095199E-2</v>
      </c>
      <c r="KA24" s="41">
        <f>189.19275/(1000)</f>
        <v>0.18919274999999999</v>
      </c>
      <c r="KB24" s="41">
        <f>27.7620652173913/(1000)</f>
        <v>2.7762065217391298E-2</v>
      </c>
      <c r="KC24" s="41">
        <f>36.5816666666667/(1000)</f>
        <v>3.65816666666667E-2</v>
      </c>
      <c r="KD24" s="41">
        <f>51.1228409090909/(1000)</f>
        <v>5.1122840909090896E-2</v>
      </c>
      <c r="KE24" s="41">
        <f>48.0886363636364/(1000)</f>
        <v>4.8088636363636396E-2</v>
      </c>
      <c r="KF24" s="41">
        <f>52.3932142857143/(1000)</f>
        <v>5.23932142857143E-2</v>
      </c>
      <c r="KG24" s="41">
        <f>66.8070652173913/(1000)</f>
        <v>6.6807065217391298E-2</v>
      </c>
      <c r="KH24" s="41">
        <f>51.7901136363636/(1000)</f>
        <v>5.1790113636363599E-2</v>
      </c>
      <c r="KI24" s="41">
        <f>39.5054761904762/(1000)</f>
        <v>3.9505476190476202E-2</v>
      </c>
      <c r="KJ24" s="41">
        <f>37.9228260869565/(1000)</f>
        <v>3.7922826086956497E-2</v>
      </c>
      <c r="KK24" s="41">
        <f>25.3844565217391/(1000)</f>
        <v>2.53844565217391E-2</v>
      </c>
      <c r="KL24" s="41">
        <f t="shared" ref="KL24:KL37" si="59">SUM(JX24:JY24)+AVERAGE(KE24:KH24)*125%</f>
        <v>0.1110221967197205</v>
      </c>
      <c r="KM24" s="41">
        <f t="shared" ref="KM24:KM37" si="60">SUM(JX24:JY24)+AVERAGE(JZ24:KD24,KI24:KK24)*125%</f>
        <v>0.11153268387975249</v>
      </c>
      <c r="KN24" s="41">
        <f t="shared" ref="KN24:KN29" si="61">SUM(JX24:JY24)+AVERAGE(JZ24:KK24)*125%</f>
        <v>0.11136252149307517</v>
      </c>
    </row>
    <row r="25" spans="1:305">
      <c r="A25" s="39" t="s">
        <v>48</v>
      </c>
      <c r="B25" s="39" t="s">
        <v>49</v>
      </c>
      <c r="C25" s="39" t="s">
        <v>53</v>
      </c>
      <c r="E25" s="39" t="s">
        <v>48</v>
      </c>
      <c r="F25" s="39" t="s">
        <v>49</v>
      </c>
      <c r="G25" s="39" t="s">
        <v>84</v>
      </c>
      <c r="I25" s="41">
        <v>10</v>
      </c>
      <c r="J25" s="41">
        <f t="shared" si="1"/>
        <v>40</v>
      </c>
      <c r="K25" s="41">
        <f t="shared" si="5"/>
        <v>4.6989999999999997E-2</v>
      </c>
      <c r="L25" s="41">
        <v>4.1889999999999997E-2</v>
      </c>
      <c r="M25" s="41">
        <v>6.948E-2</v>
      </c>
      <c r="N25" s="41">
        <v>7.2429999999999994E-2</v>
      </c>
      <c r="O25" s="41">
        <v>6.3519999999999993E-2</v>
      </c>
      <c r="P25" s="41">
        <v>7.7049999999999993E-2</v>
      </c>
      <c r="Q25" s="41">
        <v>6.1469999999999997E-2</v>
      </c>
      <c r="R25" s="41">
        <v>2.69E-2</v>
      </c>
      <c r="S25" s="41">
        <v>2.597E-2</v>
      </c>
      <c r="U25" s="39" t="s">
        <v>48</v>
      </c>
      <c r="V25" s="39" t="s">
        <v>49</v>
      </c>
      <c r="W25" s="39" t="s">
        <v>56</v>
      </c>
      <c r="Z25" s="39" t="s">
        <v>48</v>
      </c>
      <c r="AA25" s="39" t="s">
        <v>49</v>
      </c>
      <c r="AB25" s="39" t="s">
        <v>84</v>
      </c>
      <c r="AD25" s="41">
        <v>10</v>
      </c>
      <c r="AE25" s="41">
        <f t="shared" si="2"/>
        <v>40</v>
      </c>
      <c r="AF25" s="41">
        <f t="shared" si="6"/>
        <v>4.6050000000000001E-2</v>
      </c>
      <c r="AG25" s="41">
        <f t="shared" si="6"/>
        <v>4.6050000000000001E-2</v>
      </c>
      <c r="AH25" s="41">
        <v>6.5850000000000006E-2</v>
      </c>
      <c r="AI25" s="41">
        <v>6.8650000000000003E-2</v>
      </c>
      <c r="AJ25" s="41">
        <v>6.0199999999999997E-2</v>
      </c>
      <c r="AK25" s="41">
        <v>7.3029999999999998E-2</v>
      </c>
      <c r="AL25" s="41">
        <v>5.8259999999999999E-2</v>
      </c>
      <c r="AM25" s="41">
        <v>2.5489999999999999E-2</v>
      </c>
      <c r="AN25" s="41">
        <v>2.461E-2</v>
      </c>
      <c r="AP25" s="39" t="s">
        <v>48</v>
      </c>
      <c r="AQ25" s="39" t="s">
        <v>49</v>
      </c>
      <c r="AR25" s="39" t="s">
        <v>56</v>
      </c>
      <c r="AU25" s="39" t="s">
        <v>48</v>
      </c>
      <c r="AV25" s="39" t="s">
        <v>49</v>
      </c>
      <c r="AW25" s="39" t="s">
        <v>56</v>
      </c>
      <c r="AY25" s="41">
        <v>10</v>
      </c>
      <c r="AZ25" s="41">
        <f t="shared" si="3"/>
        <v>40</v>
      </c>
      <c r="BA25" s="41">
        <v>4.2770000000000002E-2</v>
      </c>
      <c r="BB25" s="41">
        <v>4.2770000000000002E-2</v>
      </c>
      <c r="BC25" s="41">
        <v>6.1440000000000002E-2</v>
      </c>
      <c r="BD25" s="41">
        <v>6.4049999999999996E-2</v>
      </c>
      <c r="BE25" s="41">
        <v>5.6169999999999998E-2</v>
      </c>
      <c r="BF25" s="41">
        <v>6.8129999999999996E-2</v>
      </c>
      <c r="BG25" s="41">
        <v>5.4359999999999999E-2</v>
      </c>
      <c r="BH25" s="41">
        <v>2.3779999999999999E-2</v>
      </c>
      <c r="BI25" s="41">
        <v>2.2960000000000001E-2</v>
      </c>
      <c r="BK25" s="39" t="s">
        <v>48</v>
      </c>
      <c r="BL25" s="39" t="s">
        <v>49</v>
      </c>
      <c r="BM25" s="39" t="s">
        <v>56</v>
      </c>
      <c r="BP25" s="39" t="s">
        <v>48</v>
      </c>
      <c r="BQ25" s="39" t="s">
        <v>49</v>
      </c>
      <c r="BR25" s="39" t="s">
        <v>53</v>
      </c>
      <c r="BT25" s="41">
        <v>10</v>
      </c>
      <c r="BU25" s="41">
        <f t="shared" si="4"/>
        <v>40</v>
      </c>
      <c r="BV25" s="41">
        <v>4.0250000000000001E-2</v>
      </c>
      <c r="BW25" s="41">
        <v>4.0250000000000001E-2</v>
      </c>
      <c r="BX25" s="41">
        <v>5.6989999999999999E-2</v>
      </c>
      <c r="BY25" s="41">
        <v>5.9409999999999998E-2</v>
      </c>
      <c r="BZ25" s="41">
        <v>5.2089999999999997E-2</v>
      </c>
      <c r="CA25" s="41">
        <v>6.3200000000000006E-2</v>
      </c>
      <c r="CB25" s="41">
        <v>5.042E-2</v>
      </c>
      <c r="CC25" s="41">
        <v>2.206E-2</v>
      </c>
      <c r="CD25" s="41">
        <v>2.1299999999999999E-2</v>
      </c>
      <c r="CE25" s="41">
        <f t="shared" si="7"/>
        <v>9.0670000000000001E-2</v>
      </c>
      <c r="CF25" s="39" t="s">
        <v>48</v>
      </c>
      <c r="CG25" s="39" t="s">
        <v>49</v>
      </c>
      <c r="CH25" s="39" t="s">
        <v>53</v>
      </c>
      <c r="CJ25" s="39" t="s">
        <v>48</v>
      </c>
      <c r="CK25" s="39" t="s">
        <v>49</v>
      </c>
      <c r="CL25" s="39" t="s">
        <v>53</v>
      </c>
      <c r="CN25" s="39" t="s">
        <v>48</v>
      </c>
      <c r="CO25" s="39" t="s">
        <v>49</v>
      </c>
      <c r="CP25" s="39" t="s">
        <v>53</v>
      </c>
      <c r="DG25" s="41">
        <v>16</v>
      </c>
      <c r="DH25" s="41">
        <f>DG25/$B$1</f>
        <v>64</v>
      </c>
      <c r="DI25" s="41">
        <v>0.35088999999999998</v>
      </c>
      <c r="DL25" s="41">
        <v>0</v>
      </c>
      <c r="DM25" s="41">
        <f>DL25/$B$1</f>
        <v>0</v>
      </c>
      <c r="DN25" s="41">
        <v>0.29025000000000001</v>
      </c>
      <c r="DP25" s="41" t="s">
        <v>124</v>
      </c>
      <c r="DQ25" s="41" t="s">
        <v>129</v>
      </c>
      <c r="DR25" s="41">
        <v>17.47</v>
      </c>
      <c r="DS25" s="41">
        <f>DR25/mo</f>
        <v>0.5727868852459016</v>
      </c>
      <c r="DU25" s="41" t="s">
        <v>124</v>
      </c>
      <c r="DV25" s="41" t="s">
        <v>133</v>
      </c>
      <c r="DW25" s="41">
        <f>26.07+2.22</f>
        <v>28.29</v>
      </c>
      <c r="DX25" s="41">
        <f>DW25/mo</f>
        <v>0.92754098360655735</v>
      </c>
      <c r="DZ25" s="41" t="s">
        <v>124</v>
      </c>
      <c r="EA25" s="41" t="s">
        <v>138</v>
      </c>
      <c r="EB25" s="41">
        <f>11.06+3.04</f>
        <v>14.100000000000001</v>
      </c>
      <c r="EC25" s="41">
        <f>EB25/mo+0.54</f>
        <v>1.0022950819672132</v>
      </c>
      <c r="EE25" s="41" t="s">
        <v>124</v>
      </c>
      <c r="EF25" s="41" t="s">
        <v>133</v>
      </c>
      <c r="EG25" s="41">
        <f>28.04+2.24</f>
        <v>30.28</v>
      </c>
      <c r="EH25" s="41">
        <f>EG25/mo</f>
        <v>0.99278688524590164</v>
      </c>
      <c r="EJ25" s="41" t="s">
        <v>124</v>
      </c>
      <c r="EK25" s="41" t="s">
        <v>138</v>
      </c>
      <c r="EL25" s="41">
        <f>12.88+3.08</f>
        <v>15.96</v>
      </c>
      <c r="EM25" s="41">
        <f>EL25/mo+0.56</f>
        <v>1.0832786885245902</v>
      </c>
      <c r="EN25" s="45">
        <v>21</v>
      </c>
      <c r="EO25" s="41">
        <f>EN25/$B$1</f>
        <v>84</v>
      </c>
      <c r="EP25" s="41">
        <v>0.11207</v>
      </c>
      <c r="ES25" s="41">
        <v>21</v>
      </c>
      <c r="ET25" s="41">
        <f>ES25/$B$1</f>
        <v>84</v>
      </c>
      <c r="EU25" s="41">
        <v>0.11501</v>
      </c>
      <c r="EX25" s="41">
        <v>21</v>
      </c>
      <c r="EY25" s="41">
        <f>EX25/$B$1</f>
        <v>84</v>
      </c>
      <c r="EZ25" s="41">
        <v>0.10442</v>
      </c>
      <c r="FC25" s="41">
        <v>21</v>
      </c>
      <c r="FD25" s="41">
        <f>FC25/$B$1</f>
        <v>84</v>
      </c>
      <c r="FE25" s="41">
        <f>0.12729+0.11656</f>
        <v>0.24384999999999998</v>
      </c>
      <c r="FN25" s="41">
        <v>9</v>
      </c>
      <c r="FO25" s="41">
        <f t="shared" si="36"/>
        <v>36</v>
      </c>
      <c r="FP25" s="41">
        <f t="shared" si="37"/>
        <v>1.4300000000000003E-3</v>
      </c>
      <c r="FQ25" s="41">
        <v>1.149E-2</v>
      </c>
      <c r="FR25" s="41">
        <f>65.13475/(1000)</f>
        <v>6.5134749999999991E-2</v>
      </c>
      <c r="FS25" s="41">
        <f>48.28589955/(1000)</f>
        <v>4.8285899550000004E-2</v>
      </c>
      <c r="FT25" s="41">
        <f>42.2842016956522/(1000)</f>
        <v>4.2284201695652203E-2</v>
      </c>
      <c r="FU25" s="41">
        <f>60.6637392380952/(1000)</f>
        <v>6.0663739238095198E-2</v>
      </c>
      <c r="FV25" s="41">
        <f>59.3193889545455/(1000)</f>
        <v>5.9319388954545499E-2</v>
      </c>
      <c r="FW25" s="41">
        <f>61.5495922727273/(1000)</f>
        <v>6.1549592272727299E-2</v>
      </c>
      <c r="FX25" s="41">
        <f>76.4989522857143/(1000)</f>
        <v>7.6498952285714295E-2</v>
      </c>
      <c r="FY25" s="41">
        <f>84.7804019565217/(1000)</f>
        <v>8.47804019565217E-2</v>
      </c>
      <c r="FZ25" s="41">
        <f>61.4391660454545/(1000)</f>
        <v>6.1439166045454498E-2</v>
      </c>
      <c r="GA25" s="41">
        <f>48.1832605714286/(1000)</f>
        <v>4.8183260571428597E-2</v>
      </c>
      <c r="GB25" s="41">
        <f>39.86309/(1000)</f>
        <v>3.9863089999999997E-2</v>
      </c>
      <c r="GC25" s="41">
        <f>34.5873525652174/(1000)</f>
        <v>3.4587352565217402E-2</v>
      </c>
      <c r="GD25" s="41">
        <f t="shared" si="38"/>
        <v>8.3987028140104447E-2</v>
      </c>
      <c r="GE25" s="41">
        <f t="shared" si="39"/>
        <v>6.2710210321867355E-2</v>
      </c>
      <c r="GF25" s="41">
        <f t="shared" si="40"/>
        <v>6.9802482927946385E-2</v>
      </c>
      <c r="GN25" s="55" t="s">
        <v>444</v>
      </c>
      <c r="GO25" s="55" t="s">
        <v>446</v>
      </c>
      <c r="GP25" s="55">
        <f>14.67+6.21+0.16+0.2+0.36+0.01+2.26</f>
        <v>23.869999999999997</v>
      </c>
      <c r="GQ25" s="55">
        <f>GP25/mo</f>
        <v>0.78262295081967204</v>
      </c>
      <c r="GT25" s="41">
        <v>9</v>
      </c>
      <c r="GU25" s="41">
        <f t="shared" si="41"/>
        <v>36</v>
      </c>
      <c r="GV25" s="55">
        <f t="shared" si="42"/>
        <v>4.2889999999999998E-2</v>
      </c>
      <c r="GW25" s="55">
        <f t="shared" si="43"/>
        <v>1.2379268000000001E-2</v>
      </c>
      <c r="GX25" s="41">
        <f>157.299555555556/(1000)</f>
        <v>0.157299555555556</v>
      </c>
      <c r="GY25" s="41">
        <f>114.209090909091/(1000)</f>
        <v>0.11420909090909101</v>
      </c>
      <c r="GZ25" s="41">
        <f>63.5772727272727/(1000)</f>
        <v>6.3577272727272705E-2</v>
      </c>
      <c r="HA25" s="41">
        <f>72.5893478260869/(1000)</f>
        <v>7.2589347826086892E-2</v>
      </c>
      <c r="HB25" s="41">
        <f>78.7757692307692/(1000)</f>
        <v>7.8775769230769205E-2</v>
      </c>
      <c r="HC25" s="41">
        <f>73.6239583333333/(1000)</f>
        <v>7.3623958333333309E-2</v>
      </c>
      <c r="HD25" s="41">
        <f>89.6864705882354/(1000)</f>
        <v>8.9686470588235395E-2</v>
      </c>
      <c r="HE25" s="41">
        <f>100.075106382979/(1000)</f>
        <v>0.10007510638297901</v>
      </c>
      <c r="HF25" s="41">
        <f>80.107037037037/(1000)</f>
        <v>8.0107037037037004E-2</v>
      </c>
      <c r="HG25" s="41">
        <f>67.0517777777778/(1000)</f>
        <v>6.7051777777777807E-2</v>
      </c>
      <c r="HH25" s="41">
        <f>57.3937254901961/(1000)</f>
        <v>5.7393725490196099E-2</v>
      </c>
      <c r="HI25" s="41">
        <f>51.4890196078431/(1000)</f>
        <v>5.1489019607843099E-2</v>
      </c>
      <c r="HJ25" s="41">
        <f t="shared" si="44"/>
        <v>0.14114241108539616</v>
      </c>
      <c r="HK25" s="41">
        <f t="shared" si="45"/>
        <v>0.13806746289057409</v>
      </c>
      <c r="HL25" s="41">
        <f t="shared" si="46"/>
        <v>0.13909244562218145</v>
      </c>
      <c r="HN25" s="45">
        <v>10</v>
      </c>
      <c r="HO25" s="41">
        <f t="shared" si="13"/>
        <v>40</v>
      </c>
      <c r="HP25" s="55">
        <f t="shared" si="14"/>
        <v>7.3499999999999998E-4</v>
      </c>
      <c r="HQ25" s="55">
        <f t="shared" si="15"/>
        <v>7.2500000000000004E-3</v>
      </c>
      <c r="HR25" s="41">
        <f>30.6735714285714/(1000)</f>
        <v>3.0673571428571401E-2</v>
      </c>
      <c r="HS25" s="41">
        <f>84.104375/(1000)</f>
        <v>8.4104375000000009E-2</v>
      </c>
      <c r="HT25" s="41">
        <f>35.0646739130435/(1000)</f>
        <v>3.50646739130435E-2</v>
      </c>
      <c r="HU25" s="41">
        <f>55.26/(1000)</f>
        <v>5.5259999999999997E-2</v>
      </c>
      <c r="HV25" s="41">
        <f>85.0529545454545/(1000)</f>
        <v>8.5052954545454501E-2</v>
      </c>
      <c r="HW25" s="41">
        <f>83.6226136363636/(1000)</f>
        <v>8.3622613636363599E-2</v>
      </c>
      <c r="HX25" s="41">
        <f>62.1038095238095/(1000)</f>
        <v>6.2103809523809506E-2</v>
      </c>
      <c r="HY25" s="41">
        <f>78.7760869565217/(1000)</f>
        <v>7.877608695652169E-2</v>
      </c>
      <c r="HZ25" s="41">
        <f>55.3011363636364/(1000)</f>
        <v>5.53011363636364E-2</v>
      </c>
      <c r="IA25" s="41">
        <f>40.1646428571429/(1000)</f>
        <v>4.0164642857142899E-2</v>
      </c>
      <c r="IB25" s="41">
        <f>43.9232608695652/(1000)</f>
        <v>4.3923260869565196E-2</v>
      </c>
      <c r="IC25" s="41">
        <f>30.3990217391304/(1000)</f>
        <v>3.0399021739130401E-2</v>
      </c>
      <c r="ID25" s="41">
        <f t="shared" si="16"/>
        <v>9.5423639525103507E-2</v>
      </c>
      <c r="IE25" s="41">
        <f t="shared" si="17"/>
        <v>7.1210390680141872E-2</v>
      </c>
      <c r="IF25" s="41">
        <f t="shared" si="18"/>
        <v>7.9281473628462426E-2</v>
      </c>
      <c r="IH25" s="45">
        <v>10</v>
      </c>
      <c r="II25" s="41">
        <f t="shared" si="19"/>
        <v>40</v>
      </c>
      <c r="IJ25" s="55">
        <f t="shared" si="20"/>
        <v>6.3699999999999998E-4</v>
      </c>
      <c r="IK25" s="55">
        <f t="shared" si="21"/>
        <v>7.2500000000000004E-3</v>
      </c>
      <c r="IL25" s="41">
        <f>31.6669047619048/(1000)</f>
        <v>3.1666904761904799E-2</v>
      </c>
      <c r="IM25" s="41">
        <f>84.451125/(1000)</f>
        <v>8.4451125000000002E-2</v>
      </c>
      <c r="IN25" s="41">
        <f>26.3586956521739/(1000)</f>
        <v>2.63586956521739E-2</v>
      </c>
      <c r="IO25" s="41">
        <f>38.9161904761905/(1000)</f>
        <v>3.89161904761905E-2</v>
      </c>
      <c r="IP25" s="41">
        <f>51.1214772727273/(1000)</f>
        <v>5.1121477272727298E-2</v>
      </c>
      <c r="IQ25" s="41">
        <f>53.63625/(1000)</f>
        <v>5.3636249999999996E-2</v>
      </c>
      <c r="IR25" s="41">
        <f>61.8729761904762/(1000)</f>
        <v>6.18729761904762E-2</v>
      </c>
      <c r="IS25" s="41">
        <f>78.6519565217391/(1000)</f>
        <v>7.8651956521739091E-2</v>
      </c>
      <c r="IT25" s="41">
        <f>53.5135227272727/(1000)</f>
        <v>5.3513522727272701E-2</v>
      </c>
      <c r="IU25" s="41">
        <f>37.5034523809524/(1000)</f>
        <v>3.7503452380952401E-2</v>
      </c>
      <c r="IV25" s="41">
        <f>36.6871739130435/(1000)</f>
        <v>3.6687173913043498E-2</v>
      </c>
      <c r="IW25" s="41">
        <f>27.8260869565217/(1000)</f>
        <v>2.7826086956521699E-2</v>
      </c>
      <c r="IX25" s="41">
        <f t="shared" si="49"/>
        <v>8.5285345449839997E-2</v>
      </c>
      <c r="IY25" s="41">
        <f t="shared" si="23"/>
        <v>6.0157485377111582E-2</v>
      </c>
      <c r="IZ25" s="41">
        <f t="shared" si="24"/>
        <v>6.8533438734687716E-2</v>
      </c>
      <c r="JB25" s="45">
        <v>10</v>
      </c>
      <c r="JC25" s="41">
        <f t="shared" si="25"/>
        <v>40</v>
      </c>
      <c r="JD25" s="55">
        <v>4.1340000000000002E-2</v>
      </c>
      <c r="JE25" s="55">
        <f t="shared" si="26"/>
        <v>7.2500000000000004E-3</v>
      </c>
      <c r="JF25" s="41">
        <f>30.8352380952381/(1000)</f>
        <v>3.08352380952381E-2</v>
      </c>
      <c r="JG25" s="41">
        <f>77.290625/(1000)</f>
        <v>7.7290625000000002E-2</v>
      </c>
      <c r="JH25" s="41">
        <f>24.8111956521739/(1000)</f>
        <v>2.4811195652173899E-2</v>
      </c>
      <c r="JI25" s="41">
        <f>37.2570238095238/(1000)</f>
        <v>3.7257023809523802E-2</v>
      </c>
      <c r="JJ25" s="41">
        <f>51.1764772727273/(1000)</f>
        <v>5.1176477272727297E-2</v>
      </c>
      <c r="JK25" s="41">
        <f>56.4713636363636/(1000)</f>
        <v>5.6471363636363597E-2</v>
      </c>
      <c r="JL25" s="41">
        <f>64.5004761904762/(1000)</f>
        <v>6.4500476190476205E-2</v>
      </c>
      <c r="JM25" s="41">
        <f>74.115/(1000)</f>
        <v>7.4115E-2</v>
      </c>
      <c r="JN25" s="41">
        <f>56.6461363636364/(1000)</f>
        <v>5.6646136363636398E-2</v>
      </c>
      <c r="JO25" s="41">
        <f>38.1484523809524/(1000)</f>
        <v>3.8148452380952401E-2</v>
      </c>
      <c r="JP25" s="41">
        <f>36.1829347826087/(1000)</f>
        <v>3.61829347826087E-2</v>
      </c>
      <c r="JQ25" s="41">
        <f>26.715/(1000)</f>
        <v>2.6714999999999999E-2</v>
      </c>
      <c r="JR25" s="41">
        <f t="shared" si="56"/>
        <v>0.1272565550595238</v>
      </c>
      <c r="JS25" s="41">
        <f t="shared" si="57"/>
        <v>9.896764796769128E-2</v>
      </c>
      <c r="JT25" s="41">
        <f t="shared" si="58"/>
        <v>0.10839728366496879</v>
      </c>
      <c r="JV25" s="41">
        <v>10</v>
      </c>
      <c r="JW25" s="41">
        <f t="shared" si="30"/>
        <v>40</v>
      </c>
      <c r="JX25" s="55">
        <f t="shared" si="31"/>
        <v>3.5310000000000001E-2</v>
      </c>
      <c r="JY25" s="55">
        <f t="shared" si="32"/>
        <v>7.2500000000000004E-3</v>
      </c>
      <c r="JZ25" s="41">
        <f>30.8352380952381/(1000)</f>
        <v>3.08352380952381E-2</v>
      </c>
      <c r="KA25" s="41">
        <f>77.290625/(1000)</f>
        <v>7.7290625000000002E-2</v>
      </c>
      <c r="KB25" s="41">
        <f>24.8111956521739/(1000)</f>
        <v>2.4811195652173899E-2</v>
      </c>
      <c r="KC25" s="41">
        <f>37.2570238095238/(1000)</f>
        <v>3.7257023809523802E-2</v>
      </c>
      <c r="KD25" s="41">
        <f>51.1764772727273/(1000)</f>
        <v>5.1176477272727297E-2</v>
      </c>
      <c r="KE25" s="41">
        <f>56.4713636363636/(1000)</f>
        <v>5.6471363636363597E-2</v>
      </c>
      <c r="KF25" s="41">
        <f>64.5004761904762/(1000)</f>
        <v>6.4500476190476205E-2</v>
      </c>
      <c r="KG25" s="41">
        <f>74.115/(1000)</f>
        <v>7.4115E-2</v>
      </c>
      <c r="KH25" s="41">
        <f>56.6461363636364/(1000)</f>
        <v>5.6646136363636398E-2</v>
      </c>
      <c r="KI25" s="41">
        <f>38.1484523809524/(1000)</f>
        <v>3.8148452380952401E-2</v>
      </c>
      <c r="KJ25" s="41">
        <f>36.1829347826087/(1000)</f>
        <v>3.61829347826087E-2</v>
      </c>
      <c r="KK25" s="41">
        <f>26.715/(1000)</f>
        <v>2.6714999999999999E-2</v>
      </c>
      <c r="KL25" s="41">
        <f t="shared" si="59"/>
        <v>0.1212265550595238</v>
      </c>
      <c r="KM25" s="41">
        <f t="shared" si="60"/>
        <v>9.2937647967691273E-2</v>
      </c>
      <c r="KN25" s="41">
        <f t="shared" si="61"/>
        <v>0.10236728366496879</v>
      </c>
    </row>
    <row r="26" spans="1:305">
      <c r="A26" s="41">
        <v>0</v>
      </c>
      <c r="B26" s="41">
        <v>0</v>
      </c>
      <c r="C26" s="41">
        <f>0.11979+0.08325</f>
        <v>0.20304</v>
      </c>
      <c r="E26" s="41">
        <v>0</v>
      </c>
      <c r="F26" s="41">
        <v>0</v>
      </c>
      <c r="G26" s="41">
        <f>0.04699+0.076</f>
        <v>0.12298999999999999</v>
      </c>
      <c r="I26" s="41">
        <v>11</v>
      </c>
      <c r="J26" s="41">
        <f t="shared" si="1"/>
        <v>44</v>
      </c>
      <c r="K26" s="41">
        <f t="shared" si="5"/>
        <v>4.6989999999999997E-2</v>
      </c>
      <c r="L26" s="41">
        <v>4.1889999999999997E-2</v>
      </c>
      <c r="M26" s="41">
        <v>6.9809999999999997E-2</v>
      </c>
      <c r="N26" s="41">
        <v>7.3709999999999998E-2</v>
      </c>
      <c r="O26" s="41">
        <v>6.5320000000000003E-2</v>
      </c>
      <c r="P26" s="41">
        <v>7.4039999999999995E-2</v>
      </c>
      <c r="Q26" s="41">
        <v>5.527E-2</v>
      </c>
      <c r="R26" s="41">
        <v>2.1219999999999999E-2</v>
      </c>
      <c r="S26" s="41">
        <v>2.1059999999999999E-2</v>
      </c>
      <c r="U26" s="41">
        <v>0</v>
      </c>
      <c r="V26" s="41">
        <v>0</v>
      </c>
      <c r="W26" s="41">
        <f>0.05245+0.07196</f>
        <v>0.12440999999999999</v>
      </c>
      <c r="Z26" s="41">
        <v>0</v>
      </c>
      <c r="AA26" s="41">
        <v>0</v>
      </c>
      <c r="AB26" s="41">
        <f>0.04605+0.07196</f>
        <v>0.11801</v>
      </c>
      <c r="AD26" s="41">
        <v>11</v>
      </c>
      <c r="AE26" s="41">
        <f t="shared" si="2"/>
        <v>44</v>
      </c>
      <c r="AF26" s="41">
        <f t="shared" si="6"/>
        <v>4.6050000000000001E-2</v>
      </c>
      <c r="AG26" s="41">
        <f t="shared" si="6"/>
        <v>4.6050000000000001E-2</v>
      </c>
      <c r="AH26" s="41">
        <v>6.6159999999999997E-2</v>
      </c>
      <c r="AI26" s="41">
        <v>6.9860000000000005E-2</v>
      </c>
      <c r="AJ26" s="41">
        <v>6.191E-2</v>
      </c>
      <c r="AK26" s="41">
        <v>7.0169999999999996E-2</v>
      </c>
      <c r="AL26" s="41">
        <v>5.2380000000000003E-2</v>
      </c>
      <c r="AM26" s="41">
        <v>2.0109999999999999E-2</v>
      </c>
      <c r="AN26" s="41">
        <v>1.9959999999999999E-2</v>
      </c>
      <c r="AP26" s="41">
        <v>0</v>
      </c>
      <c r="AQ26" s="41">
        <v>0</v>
      </c>
      <c r="AR26" s="41">
        <f>0.04805+0.06747</f>
        <v>0.11552000000000001</v>
      </c>
      <c r="AU26" s="41">
        <v>0</v>
      </c>
      <c r="AV26" s="41">
        <v>0</v>
      </c>
      <c r="AW26" s="41">
        <f>0.04277+0.06747</f>
        <v>0.11024</v>
      </c>
      <c r="AY26" s="41">
        <v>11</v>
      </c>
      <c r="AZ26" s="41">
        <f t="shared" si="3"/>
        <v>44</v>
      </c>
      <c r="BA26" s="41">
        <v>4.2770000000000002E-2</v>
      </c>
      <c r="BB26" s="41">
        <v>4.2770000000000002E-2</v>
      </c>
      <c r="BC26" s="41">
        <v>6.173E-2</v>
      </c>
      <c r="BD26" s="41">
        <v>6.5180000000000002E-2</v>
      </c>
      <c r="BE26" s="41">
        <v>5.7759999999999999E-2</v>
      </c>
      <c r="BF26" s="41">
        <v>6.547E-2</v>
      </c>
      <c r="BG26" s="41">
        <v>4.8869999999999997E-2</v>
      </c>
      <c r="BH26" s="41">
        <v>1.8759999999999999E-2</v>
      </c>
      <c r="BI26" s="41">
        <v>1.8620000000000001E-2</v>
      </c>
      <c r="BK26" s="41">
        <v>0</v>
      </c>
      <c r="BL26" s="41">
        <v>0</v>
      </c>
      <c r="BM26" s="41">
        <f>0.04025+0.06083</f>
        <v>0.10108</v>
      </c>
      <c r="BP26" s="41">
        <v>0</v>
      </c>
      <c r="BQ26" s="41">
        <v>0</v>
      </c>
      <c r="BR26" s="41">
        <f>0.04443+0.06083</f>
        <v>0.10525999999999999</v>
      </c>
      <c r="BT26" s="41">
        <v>11</v>
      </c>
      <c r="BU26" s="41">
        <f t="shared" si="4"/>
        <v>44</v>
      </c>
      <c r="BV26" s="41">
        <v>4.0250000000000001E-2</v>
      </c>
      <c r="BW26" s="41">
        <v>4.0250000000000001E-2</v>
      </c>
      <c r="BX26" s="41">
        <v>5.7259999999999998E-2</v>
      </c>
      <c r="BY26" s="41">
        <v>6.0449999999999997E-2</v>
      </c>
      <c r="BZ26" s="41">
        <v>5.3580000000000003E-2</v>
      </c>
      <c r="CA26" s="41">
        <v>6.0720000000000003E-2</v>
      </c>
      <c r="CB26" s="41">
        <v>4.5330000000000002E-2</v>
      </c>
      <c r="CC26" s="41">
        <v>1.7399999999999999E-2</v>
      </c>
      <c r="CD26" s="41">
        <v>1.7270000000000001E-2</v>
      </c>
      <c r="CE26" s="41">
        <f t="shared" si="7"/>
        <v>8.5580000000000003E-2</v>
      </c>
      <c r="CF26" s="41">
        <v>0</v>
      </c>
      <c r="CG26" s="41">
        <f>CF26/ts</f>
        <v>0</v>
      </c>
      <c r="CH26" s="41">
        <f>0.09451+0.09642</f>
        <v>0.19092999999999999</v>
      </c>
      <c r="CJ26" s="41">
        <v>0</v>
      </c>
      <c r="CK26" s="41">
        <f>CJ26/ts</f>
        <v>0</v>
      </c>
      <c r="CL26" s="41">
        <f>0.09596+0.09148</f>
        <v>0.18744</v>
      </c>
      <c r="CN26" s="41">
        <v>0</v>
      </c>
      <c r="CO26" s="41">
        <f>CN26/ts</f>
        <v>0</v>
      </c>
      <c r="CP26" s="41">
        <f>0.07922+0.07396</f>
        <v>0.15317999999999998</v>
      </c>
      <c r="DC26" s="39" t="s">
        <v>48</v>
      </c>
      <c r="DD26" s="39" t="s">
        <v>49</v>
      </c>
      <c r="DE26" s="39" t="s">
        <v>122</v>
      </c>
      <c r="DG26" s="41">
        <v>21</v>
      </c>
      <c r="DH26" s="41">
        <f>DG26/$B$1</f>
        <v>84</v>
      </c>
      <c r="DI26" s="41">
        <v>0.23233999999999999</v>
      </c>
      <c r="DL26" s="41">
        <v>9</v>
      </c>
      <c r="DM26" s="41">
        <f>DL26/$B$1</f>
        <v>36</v>
      </c>
      <c r="DN26" s="41">
        <v>0.27383000000000002</v>
      </c>
      <c r="DP26" s="39" t="s">
        <v>48</v>
      </c>
      <c r="DQ26" s="39" t="s">
        <v>49</v>
      </c>
      <c r="DR26" s="39" t="s">
        <v>122</v>
      </c>
      <c r="DU26" s="39" t="s">
        <v>48</v>
      </c>
      <c r="DV26" s="39" t="s">
        <v>49</v>
      </c>
      <c r="DW26" s="39" t="s">
        <v>122</v>
      </c>
      <c r="DZ26" s="39" t="s">
        <v>48</v>
      </c>
      <c r="EA26" s="39" t="s">
        <v>49</v>
      </c>
      <c r="EB26" s="39" t="s">
        <v>122</v>
      </c>
      <c r="EE26" s="39" t="s">
        <v>48</v>
      </c>
      <c r="EF26" s="39" t="s">
        <v>49</v>
      </c>
      <c r="EG26" s="39" t="s">
        <v>122</v>
      </c>
      <c r="EJ26" s="39" t="s">
        <v>48</v>
      </c>
      <c r="EK26" s="39" t="s">
        <v>49</v>
      </c>
      <c r="EL26" s="39" t="s">
        <v>122</v>
      </c>
      <c r="EN26" s="45" t="s">
        <v>145</v>
      </c>
      <c r="EO26" s="41" t="s">
        <v>146</v>
      </c>
      <c r="EP26" s="41">
        <f>30.68/10+5.99</f>
        <v>9.0579999999999998</v>
      </c>
      <c r="EQ26" s="41">
        <f>EP26/mo</f>
        <v>0.29698360655737704</v>
      </c>
      <c r="ES26" s="41" t="s">
        <v>145</v>
      </c>
      <c r="ET26" s="41" t="s">
        <v>155</v>
      </c>
      <c r="EU26" s="41">
        <f>31.32+27.8+12.18</f>
        <v>71.300000000000011</v>
      </c>
      <c r="EV26" s="41">
        <f>EU26/mo</f>
        <v>2.3377049180327871</v>
      </c>
      <c r="EX26" s="41" t="s">
        <v>145</v>
      </c>
      <c r="EY26" s="41" t="s">
        <v>157</v>
      </c>
      <c r="EZ26" s="41">
        <f>18.63+26.81+34.2</f>
        <v>79.64</v>
      </c>
      <c r="FA26" s="41">
        <f>EZ26/mo</f>
        <v>2.6111475409836067</v>
      </c>
      <c r="FC26" s="41" t="s">
        <v>152</v>
      </c>
      <c r="FD26" s="41" t="s">
        <v>153</v>
      </c>
      <c r="FE26" s="41">
        <v>4.57</v>
      </c>
      <c r="FF26" s="41">
        <f>FE26/mo</f>
        <v>0.14983606557377049</v>
      </c>
      <c r="FN26" s="41">
        <v>10</v>
      </c>
      <c r="FO26" s="41">
        <f t="shared" si="36"/>
        <v>40</v>
      </c>
      <c r="FP26" s="41">
        <f t="shared" si="37"/>
        <v>1.4300000000000003E-3</v>
      </c>
      <c r="FQ26" s="41">
        <v>1.149E-2</v>
      </c>
      <c r="FR26" s="41">
        <f>69.1319592380952/(1000)</f>
        <v>6.9131959238095203E-2</v>
      </c>
      <c r="FS26" s="41">
        <f>48.23141655/(1000)</f>
        <v>4.8231416549999996E-2</v>
      </c>
      <c r="FT26" s="41">
        <f>41.438125173913/(1000)</f>
        <v>4.1438125173913001E-2</v>
      </c>
      <c r="FU26" s="41">
        <f>58.9911213809524/(1000)</f>
        <v>5.8991121380952402E-2</v>
      </c>
      <c r="FV26" s="41">
        <f>60.4508519090909/(1000)</f>
        <v>6.04508519090909E-2</v>
      </c>
      <c r="FW26" s="41">
        <f>63.3512235909091/(1000)</f>
        <v>6.3351223590909098E-2</v>
      </c>
      <c r="FX26" s="41">
        <f>82.2478657619048/(1000)</f>
        <v>8.2247865761904806E-2</v>
      </c>
      <c r="FY26" s="41">
        <f>90.870898/(1000)</f>
        <v>9.0870897999999992E-2</v>
      </c>
      <c r="FZ26" s="41">
        <f>59.1439519090909/(1000)</f>
        <v>5.91439519090909E-2</v>
      </c>
      <c r="GA26" s="41">
        <f>47.6136572380952/(1000)</f>
        <v>4.76136572380952E-2</v>
      </c>
      <c r="GB26" s="41">
        <f>41.5888681363636/(1000)</f>
        <v>4.1588868136363602E-2</v>
      </c>
      <c r="GC26" s="41">
        <f>35.0232116521739/(1000)</f>
        <v>3.5023211652173897E-2</v>
      </c>
      <c r="GD26" s="41">
        <f t="shared" si="38"/>
        <v>8.6823484815476193E-2</v>
      </c>
      <c r="GE26" s="41">
        <f t="shared" si="39"/>
        <v>6.3228651409835523E-2</v>
      </c>
      <c r="GF26" s="41">
        <f t="shared" si="40"/>
        <v>7.1093595878382432E-2</v>
      </c>
      <c r="GT26" s="41">
        <v>10</v>
      </c>
      <c r="GU26" s="41">
        <f t="shared" si="41"/>
        <v>40</v>
      </c>
      <c r="GV26" s="55">
        <f t="shared" si="42"/>
        <v>4.2889999999999998E-2</v>
      </c>
      <c r="GW26" s="55">
        <f t="shared" si="43"/>
        <v>1.2379268000000001E-2</v>
      </c>
      <c r="GX26" s="41">
        <f>156.694222222222/(1000)</f>
        <v>0.15669422222222201</v>
      </c>
      <c r="GY26" s="41">
        <f>105.172727272727/(1000)</f>
        <v>0.105172727272727</v>
      </c>
      <c r="GZ26" s="41">
        <f>57.7092727272727/(1000)</f>
        <v>5.7709272727272699E-2</v>
      </c>
      <c r="HA26" s="41">
        <f>68.4543478260869/(1000)</f>
        <v>6.8454347826086906E-2</v>
      </c>
      <c r="HB26" s="41">
        <f>78.72/(1000)</f>
        <v>7.8719999999999998E-2</v>
      </c>
      <c r="HC26" s="41">
        <f>76.7285416666667/(1000)</f>
        <v>7.6728541666666705E-2</v>
      </c>
      <c r="HD26" s="41">
        <f>95.768431372549/(1000)</f>
        <v>9.5768431372549007E-2</v>
      </c>
      <c r="HE26" s="41">
        <f>106.122978723404/(1000)</f>
        <v>0.10612297872340401</v>
      </c>
      <c r="HF26" s="41">
        <f>81.7353703703704/(1000)</f>
        <v>8.1735370370370403E-2</v>
      </c>
      <c r="HG26" s="41">
        <f>61.0968888888889/(1000)</f>
        <v>6.1096888888888895E-2</v>
      </c>
      <c r="HH26" s="41">
        <f>53.9270588235294/(1000)</f>
        <v>5.3927058823529397E-2</v>
      </c>
      <c r="HI26" s="41">
        <f>50.1454901960784/(1000)</f>
        <v>5.0145490196078397E-2</v>
      </c>
      <c r="HJ26" s="41">
        <f t="shared" si="44"/>
        <v>0.14535809853324755</v>
      </c>
      <c r="HK26" s="41">
        <f t="shared" si="45"/>
        <v>0.13425926899460067</v>
      </c>
      <c r="HL26" s="41">
        <f t="shared" si="46"/>
        <v>0.13795887884081628</v>
      </c>
      <c r="HN26" s="45">
        <v>11</v>
      </c>
      <c r="HO26" s="41">
        <f t="shared" si="13"/>
        <v>44</v>
      </c>
      <c r="HP26" s="55">
        <f t="shared" si="14"/>
        <v>7.3499999999999998E-4</v>
      </c>
      <c r="HQ26" s="55">
        <f t="shared" si="15"/>
        <v>7.2500000000000004E-3</v>
      </c>
      <c r="HR26" s="41">
        <f>27.8891666666667/(1000)</f>
        <v>2.7889166666666701E-2</v>
      </c>
      <c r="HS26" s="41">
        <f>34.97125/(1000)</f>
        <v>3.4971249999999995E-2</v>
      </c>
      <c r="HT26" s="41">
        <f>36.2402173913043/(1000)</f>
        <v>3.62402173913043E-2</v>
      </c>
      <c r="HU26" s="41">
        <f>69.090119047619/(1000)</f>
        <v>6.9090119047618997E-2</v>
      </c>
      <c r="HV26" s="41">
        <f>108.265795454545/(1000)</f>
        <v>0.108265795454545</v>
      </c>
      <c r="HW26" s="41">
        <f>103.262159090909/(1000)</f>
        <v>0.10326215909090899</v>
      </c>
      <c r="HX26" s="41">
        <f>82.617380952381/(1000)</f>
        <v>8.2617380952380998E-2</v>
      </c>
      <c r="HY26" s="41">
        <f>87.6769565217391/(1000)</f>
        <v>8.7676956521739097E-2</v>
      </c>
      <c r="HZ26" s="41">
        <f>60.4235227272727/(1000)</f>
        <v>6.0423522727272701E-2</v>
      </c>
      <c r="IA26" s="41">
        <f>43.5084523809524/(1000)</f>
        <v>4.3508452380952398E-2</v>
      </c>
      <c r="IB26" s="41">
        <f>39.9634782608696/(1000)</f>
        <v>3.99634782608696E-2</v>
      </c>
      <c r="IC26" s="41">
        <f>37.5567391304348/(1000)</f>
        <v>3.7556739130434801E-2</v>
      </c>
      <c r="ID26" s="41">
        <f t="shared" si="16"/>
        <v>0.11235375602884433</v>
      </c>
      <c r="IE26" s="41">
        <f t="shared" si="17"/>
        <v>7.0092065364436226E-2</v>
      </c>
      <c r="IF26" s="41">
        <f t="shared" si="18"/>
        <v>8.4179295585905575E-2</v>
      </c>
      <c r="IH26" s="45">
        <v>11</v>
      </c>
      <c r="II26" s="41">
        <f t="shared" si="19"/>
        <v>44</v>
      </c>
      <c r="IJ26" s="55">
        <f t="shared" si="20"/>
        <v>6.3699999999999998E-4</v>
      </c>
      <c r="IK26" s="55">
        <f t="shared" si="21"/>
        <v>7.2500000000000004E-3</v>
      </c>
      <c r="IL26" s="41">
        <f>28.2934523809524/(1000)</f>
        <v>2.8293452380952398E-2</v>
      </c>
      <c r="IM26" s="41">
        <f>34.051125/(1000)</f>
        <v>3.4051125000000002E-2</v>
      </c>
      <c r="IN26" s="41">
        <f>26.5680434782609/(1000)</f>
        <v>2.6568043478260899E-2</v>
      </c>
      <c r="IO26" s="41">
        <f>34.4167857142857/(1000)</f>
        <v>3.4416785714285698E-2</v>
      </c>
      <c r="IP26" s="41">
        <f>60.1525/(1000)</f>
        <v>6.0152500000000005E-2</v>
      </c>
      <c r="IQ26" s="41">
        <f>60.8060227272727/(1000)</f>
        <v>6.0806022727272695E-2</v>
      </c>
      <c r="IR26" s="41">
        <f>81.7904761904762/(1000)</f>
        <v>8.1790476190476205E-2</v>
      </c>
      <c r="IS26" s="41">
        <f>87.9754347826087/(1000)</f>
        <v>8.7975434782608705E-2</v>
      </c>
      <c r="IT26" s="41">
        <f>58.3431818181818/(1000)</f>
        <v>5.8343181818181794E-2</v>
      </c>
      <c r="IU26" s="41">
        <f>40.9089285714286/(1000)</f>
        <v>4.0908928571428603E-2</v>
      </c>
      <c r="IV26" s="41">
        <f>33.6384782608696/(1000)</f>
        <v>3.3638478260869596E-2</v>
      </c>
      <c r="IW26" s="41">
        <f>28.4730434782609/(1000)</f>
        <v>2.8473043478260903E-2</v>
      </c>
      <c r="IX26" s="41">
        <f t="shared" si="49"/>
        <v>9.8172973599543578E-2</v>
      </c>
      <c r="IY26" s="41">
        <f t="shared" si="23"/>
        <v>5.2652993263134079E-2</v>
      </c>
      <c r="IZ26" s="41">
        <f t="shared" si="24"/>
        <v>6.7826320041937227E-2</v>
      </c>
      <c r="JB26" s="45">
        <v>11</v>
      </c>
      <c r="JC26" s="41">
        <f t="shared" si="25"/>
        <v>44</v>
      </c>
      <c r="JD26" s="55">
        <v>4.1340000000000002E-2</v>
      </c>
      <c r="JE26" s="55">
        <f t="shared" si="26"/>
        <v>7.2500000000000004E-3</v>
      </c>
      <c r="JF26" s="41">
        <f>27.6904761904762/(1000)</f>
        <v>2.7690476190476199E-2</v>
      </c>
      <c r="JG26" s="41">
        <f>25.61225/(1000)</f>
        <v>2.561225E-2</v>
      </c>
      <c r="JH26" s="41">
        <f>25.5813043478261/(1000)</f>
        <v>2.55813043478261E-2</v>
      </c>
      <c r="JI26" s="41">
        <f>33.6460714285714/(1000)</f>
        <v>3.36460714285714E-2</v>
      </c>
      <c r="JJ26" s="41">
        <f>60.2664772727273/(1000)</f>
        <v>6.0266477272727298E-2</v>
      </c>
      <c r="JK26" s="41">
        <f>63.7413636363637/(1000)</f>
        <v>6.3741363636363707E-2</v>
      </c>
      <c r="JL26" s="41">
        <f>83.1076190476191/(1000)</f>
        <v>8.3107619047619097E-2</v>
      </c>
      <c r="JM26" s="41">
        <f>83.039347826087/(1000)</f>
        <v>8.303934782608699E-2</v>
      </c>
      <c r="JN26" s="41">
        <f>61.7902272727273/(1000)</f>
        <v>6.1790227272727302E-2</v>
      </c>
      <c r="JO26" s="41">
        <f>43.0760714285714/(1000)</f>
        <v>4.3076071428571401E-2</v>
      </c>
      <c r="JP26" s="41">
        <f>35.0627173913043/(1000)</f>
        <v>3.5062717391304295E-2</v>
      </c>
      <c r="JQ26" s="41">
        <f>25.7430434782609/(1000)</f>
        <v>2.57430434782609E-2</v>
      </c>
      <c r="JR26" s="41">
        <f t="shared" si="56"/>
        <v>0.13973954930712409</v>
      </c>
      <c r="JS26" s="41">
        <f t="shared" si="57"/>
        <v>9.1821001802771501E-2</v>
      </c>
      <c r="JT26" s="41">
        <f t="shared" si="58"/>
        <v>0.10779385097088903</v>
      </c>
      <c r="JV26" s="41">
        <v>11</v>
      </c>
      <c r="JW26" s="41">
        <f t="shared" si="30"/>
        <v>44</v>
      </c>
      <c r="JX26" s="55">
        <f t="shared" si="31"/>
        <v>3.5310000000000001E-2</v>
      </c>
      <c r="JY26" s="55">
        <f t="shared" si="32"/>
        <v>7.2500000000000004E-3</v>
      </c>
      <c r="JZ26" s="41">
        <f>27.6904761904762/(1000)</f>
        <v>2.7690476190476199E-2</v>
      </c>
      <c r="KA26" s="41">
        <f>25.61225/(1000)</f>
        <v>2.561225E-2</v>
      </c>
      <c r="KB26" s="41">
        <f>25.5813043478261/(1000)</f>
        <v>2.55813043478261E-2</v>
      </c>
      <c r="KC26" s="41">
        <f>33.6460714285714/(1000)</f>
        <v>3.36460714285714E-2</v>
      </c>
      <c r="KD26" s="41">
        <f>60.2664772727273/(1000)</f>
        <v>6.0266477272727298E-2</v>
      </c>
      <c r="KE26" s="41">
        <f>63.7413636363637/(1000)</f>
        <v>6.3741363636363707E-2</v>
      </c>
      <c r="KF26" s="41">
        <f>83.1076190476191/(1000)</f>
        <v>8.3107619047619097E-2</v>
      </c>
      <c r="KG26" s="41">
        <f>83.039347826087/(1000)</f>
        <v>8.303934782608699E-2</v>
      </c>
      <c r="KH26" s="41">
        <f>61.7902272727273/(1000)</f>
        <v>6.1790227272727302E-2</v>
      </c>
      <c r="KI26" s="41">
        <f>43.0760714285714/(1000)</f>
        <v>4.3076071428571401E-2</v>
      </c>
      <c r="KJ26" s="41">
        <f>35.0627173913043/(1000)</f>
        <v>3.5062717391304295E-2</v>
      </c>
      <c r="KK26" s="41">
        <f>25.7430434782609/(1000)</f>
        <v>2.57430434782609E-2</v>
      </c>
      <c r="KL26" s="41">
        <f t="shared" si="59"/>
        <v>0.13370954930712409</v>
      </c>
      <c r="KM26" s="41">
        <f t="shared" si="60"/>
        <v>8.5791001802771494E-2</v>
      </c>
      <c r="KN26" s="41">
        <f t="shared" si="61"/>
        <v>0.10176385097088904</v>
      </c>
    </row>
    <row r="27" spans="1:305">
      <c r="A27" s="41">
        <v>8</v>
      </c>
      <c r="B27" s="41">
        <v>32</v>
      </c>
      <c r="C27" s="41">
        <f>0.11048+0.05336</f>
        <v>0.16383999999999999</v>
      </c>
      <c r="E27" s="41">
        <v>8</v>
      </c>
      <c r="F27" s="41">
        <v>32</v>
      </c>
      <c r="G27" s="41">
        <f>0.04189+0.05721</f>
        <v>9.9099999999999994E-2</v>
      </c>
      <c r="I27" s="41">
        <v>12</v>
      </c>
      <c r="J27" s="41">
        <f t="shared" si="1"/>
        <v>48</v>
      </c>
      <c r="K27" s="41">
        <f t="shared" si="5"/>
        <v>4.6989999999999997E-2</v>
      </c>
      <c r="L27" s="41">
        <v>4.1889999999999997E-2</v>
      </c>
      <c r="M27" s="41">
        <v>7.1050000000000002E-2</v>
      </c>
      <c r="N27" s="41">
        <v>7.5319999999999998E-2</v>
      </c>
      <c r="O27" s="41">
        <v>6.5589999999999996E-2</v>
      </c>
      <c r="P27" s="41">
        <v>7.2559999999999999E-2</v>
      </c>
      <c r="Q27" s="41">
        <v>4.9959999999999997E-2</v>
      </c>
      <c r="R27" s="41">
        <v>2.1479999999999999E-2</v>
      </c>
      <c r="S27" s="41">
        <v>2.2890000000000001E-2</v>
      </c>
      <c r="U27" s="41">
        <v>8</v>
      </c>
      <c r="V27" s="41">
        <v>32</v>
      </c>
      <c r="W27" s="41">
        <f>0.06798+0.0461</f>
        <v>0.11408</v>
      </c>
      <c r="Z27" s="41">
        <v>8</v>
      </c>
      <c r="AA27" s="41">
        <v>32</v>
      </c>
      <c r="AB27" s="41">
        <f>0.04605+0.0461</f>
        <v>9.215000000000001E-2</v>
      </c>
      <c r="AD27" s="41">
        <v>12</v>
      </c>
      <c r="AE27" s="41">
        <f t="shared" si="2"/>
        <v>48</v>
      </c>
      <c r="AF27" s="41">
        <f t="shared" si="6"/>
        <v>4.6050000000000001E-2</v>
      </c>
      <c r="AG27" s="41">
        <f t="shared" si="6"/>
        <v>4.6050000000000001E-2</v>
      </c>
      <c r="AH27" s="41">
        <v>6.7330000000000001E-2</v>
      </c>
      <c r="AI27" s="41">
        <v>7.1379999999999999E-2</v>
      </c>
      <c r="AJ27" s="41">
        <v>6.216E-2</v>
      </c>
      <c r="AK27" s="41">
        <v>6.8769999999999998E-2</v>
      </c>
      <c r="AL27" s="41">
        <v>4.7350000000000003E-2</v>
      </c>
      <c r="AM27" s="41">
        <v>2.036E-2</v>
      </c>
      <c r="AN27" s="41">
        <v>2.1690000000000001E-2</v>
      </c>
      <c r="AP27" s="41">
        <v>8</v>
      </c>
      <c r="AQ27" s="41">
        <v>32</v>
      </c>
      <c r="AR27" s="41">
        <f>0.06233+0.04329</f>
        <v>0.10562000000000001</v>
      </c>
      <c r="AU27" s="41">
        <v>8</v>
      </c>
      <c r="AV27" s="41">
        <v>32</v>
      </c>
      <c r="AW27" s="41">
        <f>0.04277+0.04329</f>
        <v>8.6059999999999998E-2</v>
      </c>
      <c r="AY27" s="41">
        <v>12</v>
      </c>
      <c r="AZ27" s="41">
        <f t="shared" si="3"/>
        <v>48</v>
      </c>
      <c r="BA27" s="41">
        <v>4.2770000000000002E-2</v>
      </c>
      <c r="BB27" s="41">
        <v>4.2770000000000002E-2</v>
      </c>
      <c r="BC27" s="41">
        <v>6.2820000000000001E-2</v>
      </c>
      <c r="BD27" s="41">
        <v>6.6600000000000006E-2</v>
      </c>
      <c r="BE27" s="41">
        <v>5.799E-2</v>
      </c>
      <c r="BF27" s="41">
        <v>6.4159999999999995E-2</v>
      </c>
      <c r="BG27" s="41">
        <v>4.4179999999999997E-2</v>
      </c>
      <c r="BH27" s="41">
        <v>1.899E-2</v>
      </c>
      <c r="BI27" s="41">
        <v>2.0240000000000001E-2</v>
      </c>
      <c r="BK27" s="41">
        <v>8</v>
      </c>
      <c r="BL27" s="41">
        <v>32</v>
      </c>
      <c r="BM27" s="41">
        <f>0.04025+0.03899</f>
        <v>7.9240000000000005E-2</v>
      </c>
      <c r="BP27" s="41">
        <v>8</v>
      </c>
      <c r="BQ27" s="41">
        <v>32</v>
      </c>
      <c r="BR27" s="41">
        <f>0.05857+0.03899</f>
        <v>9.7559999999999994E-2</v>
      </c>
      <c r="BT27" s="41">
        <v>12</v>
      </c>
      <c r="BU27" s="41">
        <f t="shared" si="4"/>
        <v>48</v>
      </c>
      <c r="BV27" s="41">
        <v>4.0250000000000001E-2</v>
      </c>
      <c r="BW27" s="41">
        <v>4.0250000000000001E-2</v>
      </c>
      <c r="BX27" s="41">
        <v>5.8270000000000002E-2</v>
      </c>
      <c r="BY27" s="41">
        <v>6.1769999999999999E-2</v>
      </c>
      <c r="BZ27" s="41">
        <v>5.3789999999999998E-2</v>
      </c>
      <c r="CA27" s="41">
        <v>5.951E-2</v>
      </c>
      <c r="CB27" s="41">
        <v>4.0980000000000003E-2</v>
      </c>
      <c r="CC27" s="41">
        <v>1.762E-2</v>
      </c>
      <c r="CD27" s="41">
        <v>1.8769999999999998E-2</v>
      </c>
      <c r="CE27" s="41">
        <f t="shared" si="7"/>
        <v>8.1229999999999997E-2</v>
      </c>
      <c r="CF27" s="41">
        <v>8</v>
      </c>
      <c r="CG27" s="41">
        <f>CF27/ts</f>
        <v>32</v>
      </c>
      <c r="CH27" s="41">
        <f>0.06292+0.05336</f>
        <v>0.11627999999999999</v>
      </c>
      <c r="CJ27" s="41">
        <v>8</v>
      </c>
      <c r="CK27" s="41">
        <f>CJ27/ts</f>
        <v>32</v>
      </c>
      <c r="CL27" s="41">
        <f>0.06181+0.0461</f>
        <v>0.10791000000000001</v>
      </c>
      <c r="CN27" s="41">
        <v>8</v>
      </c>
      <c r="CO27" s="41">
        <f>CN27/ts</f>
        <v>32</v>
      </c>
      <c r="CP27" s="41">
        <f>0.05525+0.03899</f>
        <v>9.423999999999999E-2</v>
      </c>
      <c r="DC27" s="41">
        <v>0</v>
      </c>
      <c r="DD27" s="41">
        <f>DC27/$B$1</f>
        <v>0</v>
      </c>
      <c r="DE27" s="41">
        <v>0.29674</v>
      </c>
      <c r="DG27" s="41" t="s">
        <v>124</v>
      </c>
      <c r="DH27" s="41" t="s">
        <v>125</v>
      </c>
      <c r="DI27" s="41">
        <v>4.75</v>
      </c>
      <c r="DJ27" s="41">
        <f>DI27/mo</f>
        <v>0.15573770491803279</v>
      </c>
      <c r="DL27" s="41">
        <v>14</v>
      </c>
      <c r="DM27" s="41">
        <f>DL27/$B$1</f>
        <v>56</v>
      </c>
      <c r="DN27" s="41">
        <v>0.29025000000000001</v>
      </c>
      <c r="DP27" s="41">
        <v>0</v>
      </c>
      <c r="DQ27" s="41">
        <f>DP27/$B$1</f>
        <v>0</v>
      </c>
      <c r="DR27" s="41">
        <v>0.20236000000000001</v>
      </c>
      <c r="DU27" s="41">
        <v>0</v>
      </c>
      <c r="DV27" s="41">
        <f>DU27/$B$1</f>
        <v>0</v>
      </c>
      <c r="DW27" s="41">
        <v>0.13236000000000001</v>
      </c>
      <c r="DZ27" s="41">
        <v>0</v>
      </c>
      <c r="EA27" s="41">
        <f>DZ27/$B$1</f>
        <v>0</v>
      </c>
      <c r="EB27" s="41">
        <v>0.14729999999999999</v>
      </c>
      <c r="EE27" s="41">
        <v>0</v>
      </c>
      <c r="EF27" s="41">
        <f>EE27/$B$1</f>
        <v>0</v>
      </c>
      <c r="EG27" s="41">
        <v>0.12672</v>
      </c>
      <c r="EJ27" s="41">
        <v>0</v>
      </c>
      <c r="EK27" s="41">
        <f>EJ27/$B$1</f>
        <v>0</v>
      </c>
      <c r="EL27" s="41">
        <v>0.13627</v>
      </c>
      <c r="FN27" s="41">
        <v>11</v>
      </c>
      <c r="FO27" s="41">
        <f t="shared" si="36"/>
        <v>44</v>
      </c>
      <c r="FP27" s="41">
        <f t="shared" si="37"/>
        <v>1.4300000000000003E-3</v>
      </c>
      <c r="FQ27" s="41">
        <v>1.149E-2</v>
      </c>
      <c r="FR27" s="41">
        <f>65.3087515714286/(1000)</f>
        <v>6.5308751571428597E-2</v>
      </c>
      <c r="FS27" s="41">
        <f>45.8609083/(1000)</f>
        <v>4.5860908299999996E-2</v>
      </c>
      <c r="FT27" s="41">
        <f>39.7325549130435/(1000)</f>
        <v>3.9732554913043498E-2</v>
      </c>
      <c r="FU27" s="41">
        <f>56.7589312857143/(1000)</f>
        <v>5.6758931285714298E-2</v>
      </c>
      <c r="FV27" s="41">
        <f>59.9139866363636/(1000)</f>
        <v>5.9913986636363603E-2</v>
      </c>
      <c r="FW27" s="41">
        <f>65.9122385909091/(1000)</f>
        <v>6.5912238590909097E-2</v>
      </c>
      <c r="FX27" s="41">
        <f>90.892668/(1000)</f>
        <v>9.0892667999999996E-2</v>
      </c>
      <c r="FY27" s="41">
        <f>100.823476826087/(1000)</f>
        <v>0.100823476826087</v>
      </c>
      <c r="FZ27" s="41">
        <f>60.2724377272727/(1000)</f>
        <v>6.0272437727272705E-2</v>
      </c>
      <c r="GA27" s="41">
        <f>45.5138565714286/(1000)</f>
        <v>4.5513856571428597E-2</v>
      </c>
      <c r="GB27" s="41">
        <f>39.3199351818182/(1000)</f>
        <v>3.93199351818182E-2</v>
      </c>
      <c r="GC27" s="41">
        <f>33.750622/(1000)</f>
        <v>3.3750622000000001E-2</v>
      </c>
      <c r="GD27" s="41">
        <f t="shared" si="38"/>
        <v>9.2395205286067206E-2</v>
      </c>
      <c r="GE27" s="41">
        <f t="shared" si="39"/>
        <v>6.1189943307474598E-2</v>
      </c>
      <c r="GF27" s="41">
        <f t="shared" si="40"/>
        <v>7.1591697300338805E-2</v>
      </c>
      <c r="GT27" s="41">
        <v>11</v>
      </c>
      <c r="GU27" s="41">
        <f t="shared" si="41"/>
        <v>44</v>
      </c>
      <c r="GV27" s="55">
        <f t="shared" si="42"/>
        <v>4.2889999999999998E-2</v>
      </c>
      <c r="GW27" s="55">
        <f t="shared" si="43"/>
        <v>1.2379268000000001E-2</v>
      </c>
      <c r="GX27" s="41">
        <f>142.508222222222/(1000)</f>
        <v>0.14250822222222201</v>
      </c>
      <c r="GY27" s="41">
        <f>97.4704545454545/(1000)</f>
        <v>9.7470454545454499E-2</v>
      </c>
      <c r="GZ27" s="41">
        <f>55.7541818181818/(1000)</f>
        <v>5.57541818181818E-2</v>
      </c>
      <c r="HA27" s="41">
        <f>67.0860869565217/(1000)</f>
        <v>6.7086086956521698E-2</v>
      </c>
      <c r="HB27" s="41">
        <f>80.1001923076923/(1000)</f>
        <v>8.0100192307692303E-2</v>
      </c>
      <c r="HC27" s="41">
        <f>79.87375/(1000)</f>
        <v>7.9873750000000007E-2</v>
      </c>
      <c r="HD27" s="41">
        <f>101.442352941176/(1000)</f>
        <v>0.101442352941176</v>
      </c>
      <c r="HE27" s="41">
        <f>111.671063829787/(1000)</f>
        <v>0.111671063829787</v>
      </c>
      <c r="HF27" s="41">
        <f>84.217962962963/(1000)</f>
        <v>8.4217962962962994E-2</v>
      </c>
      <c r="HG27" s="41">
        <f>61.0404444444444/(1000)</f>
        <v>6.1040444444444397E-2</v>
      </c>
      <c r="HH27" s="41">
        <f>53.0743137254902/(1000)</f>
        <v>5.3074313725490201E-2</v>
      </c>
      <c r="HI27" s="41">
        <f>49.3098039215686/(1000)</f>
        <v>4.9309803921568598E-2</v>
      </c>
      <c r="HJ27" s="41">
        <f t="shared" si="44"/>
        <v>0.1495705504334815</v>
      </c>
      <c r="HK27" s="41">
        <f t="shared" si="45"/>
        <v>0.13106223049269694</v>
      </c>
      <c r="HL27" s="41">
        <f t="shared" si="46"/>
        <v>0.13723167047295845</v>
      </c>
      <c r="HN27" s="45">
        <v>12</v>
      </c>
      <c r="HO27" s="41">
        <f t="shared" si="13"/>
        <v>48</v>
      </c>
      <c r="HP27" s="55">
        <f t="shared" si="14"/>
        <v>7.3499999999999998E-4</v>
      </c>
      <c r="HQ27" s="55">
        <f t="shared" si="15"/>
        <v>7.2500000000000004E-3</v>
      </c>
      <c r="HR27" s="41">
        <f>26.3090476190476/(1000)</f>
        <v>2.63090476190476E-2</v>
      </c>
      <c r="HS27" s="41">
        <f>32.57475/(1000)</f>
        <v>3.257475E-2</v>
      </c>
      <c r="HT27" s="41">
        <f>40.0830434782609/(1000)</f>
        <v>4.0083043478260895E-2</v>
      </c>
      <c r="HU27" s="41">
        <f>62.6810714285714/(1000)</f>
        <v>6.2681071428571405E-2</v>
      </c>
      <c r="HV27" s="41">
        <f>115.665909090909/(1000)</f>
        <v>0.115665909090909</v>
      </c>
      <c r="HW27" s="41">
        <f>127.975568181818/(1000)</f>
        <v>0.12797556818181802</v>
      </c>
      <c r="HX27" s="41">
        <f>136.261428571429/(1000)</f>
        <v>0.13626142857142901</v>
      </c>
      <c r="HY27" s="41">
        <f>102.7925/(1000)</f>
        <v>0.10279250000000001</v>
      </c>
      <c r="HZ27" s="41">
        <f>66.3363636363636/(1000)</f>
        <v>6.6336363636363596E-2</v>
      </c>
      <c r="IA27" s="41">
        <f>40.2635714285714/(1000)</f>
        <v>4.0263571428571406E-2</v>
      </c>
      <c r="IB27" s="41">
        <f>41.8310869565217/(1000)</f>
        <v>4.1831086956521699E-2</v>
      </c>
      <c r="IC27" s="41">
        <f>33.5736956521739/(1000)</f>
        <v>3.3573695652173906E-2</v>
      </c>
      <c r="ID27" s="41">
        <f t="shared" si="16"/>
        <v>0.14341183137175331</v>
      </c>
      <c r="IE27" s="41">
        <f t="shared" si="17"/>
        <v>6.9388464945946235E-2</v>
      </c>
      <c r="IF27" s="41">
        <f t="shared" si="18"/>
        <v>9.4062920421215293E-2</v>
      </c>
      <c r="IH27" s="45">
        <v>12</v>
      </c>
      <c r="II27" s="41">
        <f t="shared" si="19"/>
        <v>48</v>
      </c>
      <c r="IJ27" s="55">
        <f t="shared" si="20"/>
        <v>6.3699999999999998E-4</v>
      </c>
      <c r="IK27" s="55">
        <f t="shared" si="21"/>
        <v>7.2500000000000004E-3</v>
      </c>
      <c r="IL27" s="41">
        <f>26.9652380952381/(1000)</f>
        <v>2.6965238095238101E-2</v>
      </c>
      <c r="IM27" s="41">
        <f>31.411375/(1000)</f>
        <v>3.1411374999999998E-2</v>
      </c>
      <c r="IN27" s="41">
        <f>28.3379347826087/(1000)</f>
        <v>2.8337934782608699E-2</v>
      </c>
      <c r="IO27" s="41">
        <f>37.3495238095238/(1000)</f>
        <v>3.7349523809523805E-2</v>
      </c>
      <c r="IP27" s="41">
        <f>63.2121590909091/(1000)</f>
        <v>6.3212159090909104E-2</v>
      </c>
      <c r="IQ27" s="41">
        <f>72.5778409090909/(1000)</f>
        <v>7.257784090909089E-2</v>
      </c>
      <c r="IR27" s="41">
        <f>136.563333333333/(1000)</f>
        <v>0.13656333333333298</v>
      </c>
      <c r="IS27" s="41">
        <f>102.85902173913/(1000)</f>
        <v>0.10285902173913</v>
      </c>
      <c r="IT27" s="41">
        <f>63.4747727272727/(1000)</f>
        <v>6.3474772727272699E-2</v>
      </c>
      <c r="IU27" s="41">
        <f>37.6184523809524/(1000)</f>
        <v>3.7618452380952398E-2</v>
      </c>
      <c r="IV27" s="41">
        <f>33.2972826086957/(1000)</f>
        <v>3.3297282608695702E-2</v>
      </c>
      <c r="IW27" s="41">
        <f>28.5305434782609/(1000)</f>
        <v>2.8530543478260898E-2</v>
      </c>
      <c r="IX27" s="41">
        <f t="shared" si="49"/>
        <v>0.12522292772150831</v>
      </c>
      <c r="IY27" s="41">
        <f t="shared" si="23"/>
        <v>5.2687392069716982E-2</v>
      </c>
      <c r="IZ27" s="41">
        <f t="shared" si="24"/>
        <v>7.6865903953647438E-2</v>
      </c>
      <c r="JB27" s="45">
        <v>12</v>
      </c>
      <c r="JC27" s="41">
        <f t="shared" si="25"/>
        <v>48</v>
      </c>
      <c r="JD27" s="55">
        <v>4.1340000000000002E-2</v>
      </c>
      <c r="JE27" s="55">
        <f t="shared" si="26"/>
        <v>7.2500000000000004E-3</v>
      </c>
      <c r="JF27" s="41">
        <f>25.1971428571429/(1000)</f>
        <v>2.5197142857142901E-2</v>
      </c>
      <c r="JG27" s="41">
        <f>23.112125/(1000)</f>
        <v>2.3112124999999997E-2</v>
      </c>
      <c r="JH27" s="41">
        <f>29.386847826087/(1000)</f>
        <v>2.9386847826086998E-2</v>
      </c>
      <c r="JI27" s="41">
        <f>37.8569047619048/(1000)</f>
        <v>3.78569047619048E-2</v>
      </c>
      <c r="JJ27" s="41">
        <f>68.2209090909091/(1000)</f>
        <v>6.822090909090911E-2</v>
      </c>
      <c r="JK27" s="41">
        <f>73.5714772727273/(1000)</f>
        <v>7.3571477272727295E-2</v>
      </c>
      <c r="JL27" s="41">
        <f>135.92380952381/(1000)</f>
        <v>0.13592380952381</v>
      </c>
      <c r="JM27" s="41">
        <f>101.635434782609/(1000)</f>
        <v>0.101635434782609</v>
      </c>
      <c r="JN27" s="41">
        <f>65.4771590909091/(1000)</f>
        <v>6.5477159090909093E-2</v>
      </c>
      <c r="JO27" s="41">
        <f>39.3905952380952/(1000)</f>
        <v>3.9390595238095204E-2</v>
      </c>
      <c r="JP27" s="41">
        <f>35.5682608695652/(1000)</f>
        <v>3.5568260869565202E-2</v>
      </c>
      <c r="JQ27" s="41">
        <f>25.7847826086957/(1000)</f>
        <v>2.5784782608695701E-2</v>
      </c>
      <c r="JR27" s="41">
        <f t="shared" si="56"/>
        <v>0.1662799627093923</v>
      </c>
      <c r="JS27" s="41">
        <f t="shared" si="57"/>
        <v>9.3045870039437484E-2</v>
      </c>
      <c r="JT27" s="41">
        <f t="shared" si="58"/>
        <v>0.11745723426275576</v>
      </c>
      <c r="JV27" s="41">
        <v>12</v>
      </c>
      <c r="JW27" s="41">
        <f t="shared" si="30"/>
        <v>48</v>
      </c>
      <c r="JX27" s="55">
        <f t="shared" si="31"/>
        <v>3.5310000000000001E-2</v>
      </c>
      <c r="JY27" s="55">
        <f t="shared" si="32"/>
        <v>7.2500000000000004E-3</v>
      </c>
      <c r="JZ27" s="41">
        <f>25.1971428571429/(1000)</f>
        <v>2.5197142857142901E-2</v>
      </c>
      <c r="KA27" s="41">
        <f>23.112125/(1000)</f>
        <v>2.3112124999999997E-2</v>
      </c>
      <c r="KB27" s="41">
        <f>29.386847826087/(1000)</f>
        <v>2.9386847826086998E-2</v>
      </c>
      <c r="KC27" s="41">
        <f>37.8569047619048/(1000)</f>
        <v>3.78569047619048E-2</v>
      </c>
      <c r="KD27" s="41">
        <f>68.2209090909091/(1000)</f>
        <v>6.822090909090911E-2</v>
      </c>
      <c r="KE27" s="41">
        <f>73.5714772727273/(1000)</f>
        <v>7.3571477272727295E-2</v>
      </c>
      <c r="KF27" s="41">
        <f>135.92380952381/(1000)</f>
        <v>0.13592380952381</v>
      </c>
      <c r="KG27" s="41">
        <f>101.635434782609/(1000)</f>
        <v>0.101635434782609</v>
      </c>
      <c r="KH27" s="41">
        <f>65.4771590909091/(1000)</f>
        <v>6.5477159090909093E-2</v>
      </c>
      <c r="KI27" s="41">
        <f>39.3905952380952/(1000)</f>
        <v>3.9390595238095204E-2</v>
      </c>
      <c r="KJ27" s="41">
        <f>35.5682608695652/(1000)</f>
        <v>3.5568260869565202E-2</v>
      </c>
      <c r="KK27" s="41">
        <f>25.7847826086957/(1000)</f>
        <v>2.5784782608695701E-2</v>
      </c>
      <c r="KL27" s="41">
        <f t="shared" si="59"/>
        <v>0.16024996270939229</v>
      </c>
      <c r="KM27" s="41">
        <f t="shared" si="60"/>
        <v>8.701587003943749E-2</v>
      </c>
      <c r="KN27" s="41">
        <f t="shared" si="61"/>
        <v>0.11142723426275576</v>
      </c>
    </row>
    <row r="28" spans="1:305">
      <c r="A28" s="41">
        <v>16</v>
      </c>
      <c r="B28" s="41">
        <v>64</v>
      </c>
      <c r="C28" s="41">
        <f>0.18194+0.1733</f>
        <v>0.35524</v>
      </c>
      <c r="E28" s="41">
        <v>16</v>
      </c>
      <c r="F28" s="41">
        <v>64</v>
      </c>
      <c r="G28" s="41">
        <f>0.08218+0.10637</f>
        <v>0.18855</v>
      </c>
      <c r="I28" s="41">
        <v>13</v>
      </c>
      <c r="J28" s="41">
        <f t="shared" si="1"/>
        <v>52</v>
      </c>
      <c r="K28" s="41">
        <f t="shared" si="5"/>
        <v>4.6989999999999997E-2</v>
      </c>
      <c r="L28" s="41">
        <v>4.1889999999999997E-2</v>
      </c>
      <c r="M28" s="41">
        <v>7.5249999999999997E-2</v>
      </c>
      <c r="N28" s="41">
        <v>7.8619999999999995E-2</v>
      </c>
      <c r="O28" s="41">
        <v>6.9879999999999998E-2</v>
      </c>
      <c r="P28" s="41">
        <v>7.2830000000000006E-2</v>
      </c>
      <c r="Q28" s="41">
        <v>5.3969999999999997E-2</v>
      </c>
      <c r="R28" s="41">
        <v>2.8389999999999999E-2</v>
      </c>
      <c r="S28" s="41">
        <v>3.4139999999999997E-2</v>
      </c>
      <c r="U28" s="41">
        <v>16</v>
      </c>
      <c r="V28" s="41">
        <v>64</v>
      </c>
      <c r="W28" s="41">
        <f>0.08251+0.13565</f>
        <v>0.21815999999999999</v>
      </c>
      <c r="Z28" s="41">
        <v>16</v>
      </c>
      <c r="AA28" s="41">
        <v>64</v>
      </c>
      <c r="AB28" s="41">
        <f>0.04605+0.08572</f>
        <v>0.13177</v>
      </c>
      <c r="AD28" s="41">
        <v>13</v>
      </c>
      <c r="AE28" s="41">
        <f t="shared" si="2"/>
        <v>52</v>
      </c>
      <c r="AF28" s="41">
        <f t="shared" si="6"/>
        <v>4.6050000000000001E-2</v>
      </c>
      <c r="AG28" s="41">
        <f t="shared" si="6"/>
        <v>4.6050000000000001E-2</v>
      </c>
      <c r="AH28" s="41">
        <v>7.1319999999999995E-2</v>
      </c>
      <c r="AI28" s="41">
        <v>7.4510000000000007E-2</v>
      </c>
      <c r="AJ28" s="41">
        <v>6.6229999999999997E-2</v>
      </c>
      <c r="AK28" s="41">
        <v>6.9019999999999998E-2</v>
      </c>
      <c r="AL28" s="41">
        <v>5.1150000000000001E-2</v>
      </c>
      <c r="AM28" s="41">
        <v>0.26910000000000001</v>
      </c>
      <c r="AN28" s="41">
        <v>3.2349999999999997E-2</v>
      </c>
      <c r="AP28" s="41">
        <v>16</v>
      </c>
      <c r="AQ28" s="41">
        <v>64</v>
      </c>
      <c r="AR28" s="41">
        <f>0.07609+0.11852</f>
        <v>0.19461000000000001</v>
      </c>
      <c r="AU28" s="41">
        <v>16</v>
      </c>
      <c r="AV28" s="41">
        <v>64</v>
      </c>
      <c r="AW28" s="41">
        <f>0.04277+0.08038</f>
        <v>0.12315</v>
      </c>
      <c r="AY28" s="41">
        <v>13</v>
      </c>
      <c r="AZ28" s="41">
        <f t="shared" si="3"/>
        <v>52</v>
      </c>
      <c r="BA28" s="41">
        <v>4.2770000000000002E-2</v>
      </c>
      <c r="BB28" s="41">
        <v>4.2770000000000002E-2</v>
      </c>
      <c r="BC28" s="41">
        <v>6.6540000000000002E-2</v>
      </c>
      <c r="BD28" s="41">
        <v>6.9519999999999998E-2</v>
      </c>
      <c r="BE28" s="41">
        <v>6.1789999999999998E-2</v>
      </c>
      <c r="BF28" s="41">
        <v>6.4399999999999999E-2</v>
      </c>
      <c r="BG28" s="41">
        <v>4.7719999999999999E-2</v>
      </c>
      <c r="BH28" s="41">
        <v>2.511E-2</v>
      </c>
      <c r="BI28" s="41">
        <v>3.0179999999999998E-2</v>
      </c>
      <c r="BK28" s="41">
        <v>16</v>
      </c>
      <c r="BL28" s="41">
        <v>64</v>
      </c>
      <c r="BM28" s="41">
        <f>0.04025+0.07246</f>
        <v>0.11271</v>
      </c>
      <c r="BP28" s="41">
        <v>16</v>
      </c>
      <c r="BQ28" s="41">
        <v>64</v>
      </c>
      <c r="BR28" s="41">
        <f>0.06971+0.11669</f>
        <v>0.18640000000000001</v>
      </c>
      <c r="BT28" s="41">
        <v>13</v>
      </c>
      <c r="BU28" s="41">
        <f t="shared" si="4"/>
        <v>52</v>
      </c>
      <c r="BV28" s="41">
        <v>4.0250000000000001E-2</v>
      </c>
      <c r="BW28" s="41">
        <v>4.0250000000000001E-2</v>
      </c>
      <c r="BX28" s="41">
        <v>6.1719999999999997E-2</v>
      </c>
      <c r="BY28" s="41">
        <v>6.4479999999999996E-2</v>
      </c>
      <c r="BZ28" s="41">
        <v>5.731E-2</v>
      </c>
      <c r="CA28" s="41">
        <v>5.9729999999999998E-2</v>
      </c>
      <c r="CB28" s="41">
        <v>4.4260000000000001E-2</v>
      </c>
      <c r="CC28" s="41">
        <v>2.3290000000000002E-2</v>
      </c>
      <c r="CD28" s="41">
        <v>2.8000000000000001E-2</v>
      </c>
      <c r="CE28" s="41">
        <f t="shared" si="7"/>
        <v>8.4510000000000002E-2</v>
      </c>
      <c r="CF28" s="41">
        <v>16</v>
      </c>
      <c r="CG28" s="41">
        <f>CF28/ts</f>
        <v>64</v>
      </c>
      <c r="CH28" s="41">
        <f>0.28607+0.1733</f>
        <v>0.45937</v>
      </c>
      <c r="CJ28" s="41">
        <v>16</v>
      </c>
      <c r="CK28" s="41">
        <f>CJ28/ts</f>
        <v>64</v>
      </c>
      <c r="CL28" s="41">
        <f>0.29298+0.14875</f>
        <v>0.44173000000000001</v>
      </c>
      <c r="CN28" s="41">
        <v>16</v>
      </c>
      <c r="CO28" s="41">
        <f>CN28/ts</f>
        <v>64</v>
      </c>
      <c r="CP28" s="41">
        <f>0.24768+0.12829</f>
        <v>0.37597000000000003</v>
      </c>
      <c r="DC28" s="41">
        <v>9</v>
      </c>
      <c r="DD28" s="41">
        <f>DC28/$B$1</f>
        <v>36</v>
      </c>
      <c r="DE28" s="41">
        <v>0.28032000000000001</v>
      </c>
      <c r="DG28" s="39" t="s">
        <v>48</v>
      </c>
      <c r="DH28" s="39" t="s">
        <v>49</v>
      </c>
      <c r="DI28" s="39" t="s">
        <v>122</v>
      </c>
      <c r="DL28" s="41">
        <v>16</v>
      </c>
      <c r="DM28" s="41">
        <f>DL28/$B$1</f>
        <v>64</v>
      </c>
      <c r="DN28" s="41">
        <v>0.30998999999999999</v>
      </c>
      <c r="DP28" s="41">
        <v>9</v>
      </c>
      <c r="DQ28" s="41">
        <f>DP28/$B$1</f>
        <v>36</v>
      </c>
      <c r="DR28" s="41">
        <v>0.16602</v>
      </c>
      <c r="DU28" s="41">
        <v>9</v>
      </c>
      <c r="DV28" s="41">
        <f>DU28/$B$1</f>
        <v>36</v>
      </c>
      <c r="DW28" s="41">
        <v>7.8719999999999998E-2</v>
      </c>
      <c r="DZ28" s="41">
        <v>9</v>
      </c>
      <c r="EA28" s="41">
        <f>DZ28/$B$1</f>
        <v>36</v>
      </c>
      <c r="EB28" s="41">
        <v>0.11148</v>
      </c>
      <c r="EE28" s="41">
        <v>9</v>
      </c>
      <c r="EF28" s="41">
        <f>EE28/$B$1</f>
        <v>36</v>
      </c>
      <c r="EG28" s="41">
        <v>7.2969999999999993E-2</v>
      </c>
      <c r="EJ28" s="41">
        <v>9</v>
      </c>
      <c r="EK28" s="41">
        <f>EJ28/$B$1</f>
        <v>36</v>
      </c>
      <c r="EL28" s="41">
        <v>0.10052</v>
      </c>
      <c r="EN28" s="43" t="s">
        <v>48</v>
      </c>
      <c r="EO28" s="39" t="s">
        <v>49</v>
      </c>
      <c r="EP28" s="39" t="s">
        <v>147</v>
      </c>
      <c r="ES28" s="39" t="s">
        <v>48</v>
      </c>
      <c r="ET28" s="39" t="s">
        <v>49</v>
      </c>
      <c r="EU28" s="39" t="s">
        <v>147</v>
      </c>
      <c r="EX28" s="39" t="s">
        <v>48</v>
      </c>
      <c r="EY28" s="39" t="s">
        <v>49</v>
      </c>
      <c r="EZ28" s="39" t="s">
        <v>147</v>
      </c>
      <c r="FC28" s="39" t="s">
        <v>48</v>
      </c>
      <c r="FD28" s="39" t="s">
        <v>49</v>
      </c>
      <c r="FE28" s="39" t="s">
        <v>147</v>
      </c>
      <c r="FN28" s="41">
        <v>12</v>
      </c>
      <c r="FO28" s="41">
        <f t="shared" si="36"/>
        <v>48</v>
      </c>
      <c r="FP28" s="41">
        <f t="shared" si="37"/>
        <v>1.4300000000000003E-3</v>
      </c>
      <c r="FQ28" s="41">
        <v>1.149E-2</v>
      </c>
      <c r="FR28" s="41">
        <f>60.7324518571429/(1000)</f>
        <v>6.0732451857142898E-2</v>
      </c>
      <c r="FS28" s="41">
        <f>43.8894043/(1000)</f>
        <v>4.3889404300000004E-2</v>
      </c>
      <c r="FT28" s="41">
        <f>38.4642377826087/(1000)</f>
        <v>3.8464237782608698E-2</v>
      </c>
      <c r="FU28" s="41">
        <f>56.3416434761905/(1000)</f>
        <v>5.6341643476190501E-2</v>
      </c>
      <c r="FV28" s="41">
        <f>61.5702920454545/(1000)</f>
        <v>6.15702920454545E-2</v>
      </c>
      <c r="FW28" s="41">
        <f>66.8743070909091/(1000)</f>
        <v>6.6874307090909094E-2</v>
      </c>
      <c r="FX28" s="41">
        <f>100.188956047619/(1000)</f>
        <v>0.100188956047619</v>
      </c>
      <c r="FY28" s="41">
        <f>113.420380043478/(1000)</f>
        <v>0.113420380043478</v>
      </c>
      <c r="FZ28" s="41">
        <f>61.5139985909091/(1000)</f>
        <v>6.15139985909091E-2</v>
      </c>
      <c r="GA28" s="41">
        <f>43.4175928571428/(1000)</f>
        <v>4.3417592857142799E-2</v>
      </c>
      <c r="GB28" s="41">
        <f>38.9533368636364/(1000)</f>
        <v>3.8953336863636404E-2</v>
      </c>
      <c r="GC28" s="41">
        <f>32.3940435217391/(1000)</f>
        <v>3.2394043521739101E-2</v>
      </c>
      <c r="GD28" s="41">
        <f t="shared" si="38"/>
        <v>9.84194104432288E-2</v>
      </c>
      <c r="GE28" s="41">
        <f t="shared" si="39"/>
        <v>5.9890375337989361E-2</v>
      </c>
      <c r="GF28" s="41">
        <f t="shared" si="40"/>
        <v>7.273338703973585E-2</v>
      </c>
      <c r="GT28" s="41">
        <v>12</v>
      </c>
      <c r="GU28" s="41">
        <f t="shared" si="41"/>
        <v>48</v>
      </c>
      <c r="GV28" s="55">
        <f t="shared" si="42"/>
        <v>4.2889999999999998E-2</v>
      </c>
      <c r="GW28" s="55">
        <f t="shared" si="43"/>
        <v>1.2379268000000001E-2</v>
      </c>
      <c r="GX28" s="41">
        <f>135.67/(1000)</f>
        <v>0.13566999999999999</v>
      </c>
      <c r="GY28" s="41">
        <f>91.5563636363637/(1000)</f>
        <v>9.15563636363637E-2</v>
      </c>
      <c r="GZ28" s="41">
        <f>53.4549090909091/(1000)</f>
        <v>5.3454909090909095E-2</v>
      </c>
      <c r="HA28" s="41">
        <f>66.7345652173913/(1000)</f>
        <v>6.6734565217391309E-2</v>
      </c>
      <c r="HB28" s="41">
        <f>80.9775/(1000)</f>
        <v>8.0977500000000008E-2</v>
      </c>
      <c r="HC28" s="41">
        <f>82.9735416666667/(1000)</f>
        <v>8.2973541666666706E-2</v>
      </c>
      <c r="HD28" s="41">
        <f>108.067058823529/(1000)</f>
        <v>0.10806705882352899</v>
      </c>
      <c r="HE28" s="41">
        <f>117.589787234043/(1000)</f>
        <v>0.11758978723404299</v>
      </c>
      <c r="HF28" s="41">
        <f>86.055/(1000)</f>
        <v>8.6055000000000006E-2</v>
      </c>
      <c r="HG28" s="41">
        <f>60.0315555555556/(1000)</f>
        <v>6.0031555555555602E-2</v>
      </c>
      <c r="HH28" s="41">
        <f>52.2860784313725/(1000)</f>
        <v>5.22860784313725E-2</v>
      </c>
      <c r="HI28" s="41">
        <f>48.1029411764706/(1000)</f>
        <v>4.8102941176470598E-2</v>
      </c>
      <c r="HJ28" s="41">
        <f t="shared" si="44"/>
        <v>0.15394061493105965</v>
      </c>
      <c r="HK28" s="41">
        <f t="shared" si="45"/>
        <v>0.12887100713850785</v>
      </c>
      <c r="HL28" s="41">
        <f t="shared" si="46"/>
        <v>0.13722754306935844</v>
      </c>
      <c r="HN28" s="45">
        <v>13</v>
      </c>
      <c r="HO28" s="41">
        <f t="shared" si="13"/>
        <v>52</v>
      </c>
      <c r="HP28" s="55">
        <f t="shared" si="14"/>
        <v>7.3499999999999998E-4</v>
      </c>
      <c r="HQ28" s="55">
        <f t="shared" si="15"/>
        <v>7.2500000000000004E-3</v>
      </c>
      <c r="HR28" s="41">
        <f>24.6928571428571/(1000)</f>
        <v>2.46928571428571E-2</v>
      </c>
      <c r="HS28" s="41">
        <f>29.825375/(1000)</f>
        <v>2.9825375000000001E-2</v>
      </c>
      <c r="HT28" s="41">
        <f>43.0293478260869/(1000)</f>
        <v>4.3029347826086896E-2</v>
      </c>
      <c r="HU28" s="41">
        <f>63.5653571428571/(1000)</f>
        <v>6.3565357142857104E-2</v>
      </c>
      <c r="HV28" s="41">
        <f>231.123863636364/(1000)</f>
        <v>0.231123863636364</v>
      </c>
      <c r="HW28" s="41">
        <f>163.275681818182/(1000)</f>
        <v>0.163275681818182</v>
      </c>
      <c r="HX28" s="41">
        <f>209.439523809524/(1000)</f>
        <v>0.20943952380952399</v>
      </c>
      <c r="HY28" s="41">
        <f>140.295217391304/(1000)</f>
        <v>0.14029521739130399</v>
      </c>
      <c r="HZ28" s="41">
        <f>80.5422727272727/(1000)</f>
        <v>8.0542272727272698E-2</v>
      </c>
      <c r="IA28" s="41">
        <f>43.3196428571429/(1000)</f>
        <v>4.3319642857142904E-2</v>
      </c>
      <c r="IB28" s="41">
        <f>45.7998913043478/(1000)</f>
        <v>4.5799891304347799E-2</v>
      </c>
      <c r="IC28" s="41">
        <f>33.2267391304348/(1000)</f>
        <v>3.32267391304348E-2</v>
      </c>
      <c r="ID28" s="41">
        <f t="shared" si="16"/>
        <v>0.19347021742071333</v>
      </c>
      <c r="IE28" s="41">
        <f t="shared" si="17"/>
        <v>8.8388605318764163E-2</v>
      </c>
      <c r="IF28" s="41">
        <f t="shared" si="18"/>
        <v>0.12341580935274724</v>
      </c>
      <c r="IH28" s="45">
        <v>13</v>
      </c>
      <c r="II28" s="41">
        <f t="shared" si="19"/>
        <v>52</v>
      </c>
      <c r="IJ28" s="55">
        <f t="shared" si="20"/>
        <v>6.3699999999999998E-4</v>
      </c>
      <c r="IK28" s="55">
        <f t="shared" si="21"/>
        <v>7.2500000000000004E-3</v>
      </c>
      <c r="IL28" s="41">
        <f>24.580119047619/(1000)</f>
        <v>2.4580119047619E-2</v>
      </c>
      <c r="IM28" s="41">
        <f>28.89975/(1000)</f>
        <v>2.8899750000000002E-2</v>
      </c>
      <c r="IN28" s="41">
        <f>30.3528260869565/(1000)</f>
        <v>3.03528260869565E-2</v>
      </c>
      <c r="IO28" s="41">
        <f>47.3457142857143/(1000)</f>
        <v>4.7345714285714303E-2</v>
      </c>
      <c r="IP28" s="41">
        <f>77.8104545454546/(1000)</f>
        <v>7.7810454545454599E-2</v>
      </c>
      <c r="IQ28" s="41">
        <f>81.8929545454546/(1000)</f>
        <v>8.1892954545454602E-2</v>
      </c>
      <c r="IR28" s="41">
        <f>211.540238095238/(1000)</f>
        <v>0.211540238095238</v>
      </c>
      <c r="IS28" s="41">
        <f>138.754782608696/(1000)</f>
        <v>0.138754782608696</v>
      </c>
      <c r="IT28" s="41">
        <f>76.8742045454545/(1000)</f>
        <v>7.6874204545454503E-2</v>
      </c>
      <c r="IU28" s="41">
        <f>40.1416666666667/(1000)</f>
        <v>4.01416666666667E-2</v>
      </c>
      <c r="IV28" s="41">
        <f>32.1554347826087/(1000)</f>
        <v>3.2155434782608704E-2</v>
      </c>
      <c r="IW28" s="41">
        <f>27.7725/(1000)</f>
        <v>2.7772500000000002E-2</v>
      </c>
      <c r="IX28" s="41">
        <f t="shared" si="49"/>
        <v>0.16696893118588849</v>
      </c>
      <c r="IY28" s="41">
        <f t="shared" si="23"/>
        <v>5.6177385221096832E-2</v>
      </c>
      <c r="IZ28" s="41">
        <f t="shared" si="24"/>
        <v>9.3107900542694064E-2</v>
      </c>
      <c r="JB28" s="45">
        <v>13</v>
      </c>
      <c r="JC28" s="41">
        <f t="shared" si="25"/>
        <v>52</v>
      </c>
      <c r="JD28" s="55">
        <v>4.1340000000000002E-2</v>
      </c>
      <c r="JE28" s="55">
        <f t="shared" si="26"/>
        <v>7.2500000000000004E-3</v>
      </c>
      <c r="JF28" s="41">
        <f>23.810119047619/(1000)</f>
        <v>2.3810119047619E-2</v>
      </c>
      <c r="JG28" s="41">
        <f>22.416625/(1000)</f>
        <v>2.2416624999999999E-2</v>
      </c>
      <c r="JH28" s="41">
        <f>30.820652173913/(1000)</f>
        <v>3.0820652173912999E-2</v>
      </c>
      <c r="JI28" s="41">
        <f>55.8191666666667/(1000)</f>
        <v>5.5819166666666704E-2</v>
      </c>
      <c r="JJ28" s="41">
        <f>94.9545454545455/(1000)</f>
        <v>9.49545454545455E-2</v>
      </c>
      <c r="JK28" s="41">
        <f>81.9940909090909/(1000)</f>
        <v>8.1994090909090905E-2</v>
      </c>
      <c r="JL28" s="41">
        <f>208.755238095238/(1000)</f>
        <v>0.20875523809523802</v>
      </c>
      <c r="JM28" s="41">
        <f>137.597826086957/(1000)</f>
        <v>0.137597826086957</v>
      </c>
      <c r="JN28" s="41">
        <f>77.4940909090909/(1000)</f>
        <v>7.7494090909090901E-2</v>
      </c>
      <c r="JO28" s="41">
        <f>44.0288095238095/(1000)</f>
        <v>4.4028809523809498E-2</v>
      </c>
      <c r="JP28" s="41">
        <f>34.9542391304348/(1000)</f>
        <v>3.49542391304348E-2</v>
      </c>
      <c r="JQ28" s="41">
        <f>25.6167391304348/(1000)</f>
        <v>2.5616739130434801E-2</v>
      </c>
      <c r="JR28" s="41">
        <f t="shared" si="56"/>
        <v>0.20666538937511775</v>
      </c>
      <c r="JS28" s="41">
        <f t="shared" si="57"/>
        <v>0.1005307650199099</v>
      </c>
      <c r="JT28" s="41">
        <f t="shared" si="58"/>
        <v>0.13590897313831252</v>
      </c>
      <c r="JV28" s="41">
        <v>13</v>
      </c>
      <c r="JW28" s="41">
        <f t="shared" si="30"/>
        <v>52</v>
      </c>
      <c r="JX28" s="55">
        <f t="shared" si="31"/>
        <v>3.5310000000000001E-2</v>
      </c>
      <c r="JY28" s="55">
        <f t="shared" si="32"/>
        <v>7.2500000000000004E-3</v>
      </c>
      <c r="JZ28" s="41">
        <f>23.810119047619/(1000)</f>
        <v>2.3810119047619E-2</v>
      </c>
      <c r="KA28" s="41">
        <f>22.416625/(1000)</f>
        <v>2.2416624999999999E-2</v>
      </c>
      <c r="KB28" s="41">
        <f>30.820652173913/(1000)</f>
        <v>3.0820652173912999E-2</v>
      </c>
      <c r="KC28" s="41">
        <f>55.8191666666667/(1000)</f>
        <v>5.5819166666666704E-2</v>
      </c>
      <c r="KD28" s="41">
        <f>94.9545454545455/(1000)</f>
        <v>9.49545454545455E-2</v>
      </c>
      <c r="KE28" s="41">
        <f>81.9940909090909/(1000)</f>
        <v>8.1994090909090905E-2</v>
      </c>
      <c r="KF28" s="41">
        <f>208.755238095238/(1000)</f>
        <v>0.20875523809523802</v>
      </c>
      <c r="KG28" s="41">
        <f>137.597826086957/(1000)</f>
        <v>0.137597826086957</v>
      </c>
      <c r="KH28" s="41">
        <f>77.4940909090909/(1000)</f>
        <v>7.7494090909090901E-2</v>
      </c>
      <c r="KI28" s="41">
        <f>44.0288095238095/(1000)</f>
        <v>4.4028809523809498E-2</v>
      </c>
      <c r="KJ28" s="41">
        <f>34.9542391304348/(1000)</f>
        <v>3.49542391304348E-2</v>
      </c>
      <c r="KK28" s="41">
        <f>25.6167391304348/(1000)</f>
        <v>2.5616739130434801E-2</v>
      </c>
      <c r="KL28" s="41">
        <f t="shared" si="59"/>
        <v>0.20063538937511777</v>
      </c>
      <c r="KM28" s="41">
        <f t="shared" si="60"/>
        <v>9.4500765019909894E-2</v>
      </c>
      <c r="KN28" s="41">
        <f t="shared" si="61"/>
        <v>0.12987897313831254</v>
      </c>
    </row>
    <row r="29" spans="1:305">
      <c r="A29" s="41">
        <v>21</v>
      </c>
      <c r="B29" s="41">
        <v>84</v>
      </c>
      <c r="C29" s="41">
        <f>0.11979+0.08325</f>
        <v>0.20304</v>
      </c>
      <c r="E29" s="41">
        <v>21</v>
      </c>
      <c r="F29" s="41">
        <v>84</v>
      </c>
      <c r="G29" s="41">
        <f>0.04699+0.076</f>
        <v>0.12298999999999999</v>
      </c>
      <c r="I29" s="41">
        <v>14</v>
      </c>
      <c r="J29" s="41">
        <f t="shared" si="1"/>
        <v>56</v>
      </c>
      <c r="K29" s="41">
        <f t="shared" si="5"/>
        <v>4.6989999999999997E-2</v>
      </c>
      <c r="L29" s="41">
        <v>4.1889999999999997E-2</v>
      </c>
      <c r="M29" s="41">
        <v>7.8329999999999997E-2</v>
      </c>
      <c r="N29" s="41">
        <v>9.8839999999999997E-2</v>
      </c>
      <c r="O29" s="41">
        <v>7.7410000000000007E-2</v>
      </c>
      <c r="P29" s="41">
        <v>7.3859999999999995E-2</v>
      </c>
      <c r="Q29" s="41">
        <v>6.1929999999999999E-2</v>
      </c>
      <c r="R29" s="41">
        <v>4.2099999999999999E-2</v>
      </c>
      <c r="S29" s="41">
        <v>5.5379999999999999E-2</v>
      </c>
      <c r="U29" s="41">
        <v>21</v>
      </c>
      <c r="V29" s="41">
        <v>84</v>
      </c>
      <c r="W29" s="41">
        <f>0.05245+0.07196</f>
        <v>0.12440999999999999</v>
      </c>
      <c r="Z29" s="41">
        <v>21</v>
      </c>
      <c r="AA29" s="41">
        <v>84</v>
      </c>
      <c r="AB29" s="41">
        <f>0.04605+0.07196</f>
        <v>0.11801</v>
      </c>
      <c r="AD29" s="41">
        <v>14</v>
      </c>
      <c r="AE29" s="41">
        <f t="shared" si="2"/>
        <v>56</v>
      </c>
      <c r="AF29" s="41">
        <f t="shared" si="6"/>
        <v>4.6050000000000001E-2</v>
      </c>
      <c r="AG29" s="41">
        <f t="shared" si="6"/>
        <v>4.6050000000000001E-2</v>
      </c>
      <c r="AH29" s="41">
        <v>7.424E-2</v>
      </c>
      <c r="AI29" s="41">
        <v>9.3679999999999999E-2</v>
      </c>
      <c r="AJ29" s="41">
        <v>7.3359999999999995E-2</v>
      </c>
      <c r="AK29" s="41">
        <v>7.0000000000000007E-2</v>
      </c>
      <c r="AL29" s="41">
        <v>5.8700000000000002E-2</v>
      </c>
      <c r="AM29" s="41">
        <v>3.9899999999999998E-2</v>
      </c>
      <c r="AN29" s="41">
        <v>5.2479999999999999E-2</v>
      </c>
      <c r="AP29" s="41">
        <v>21</v>
      </c>
      <c r="AQ29" s="41">
        <v>84</v>
      </c>
      <c r="AR29" s="41">
        <f>0.04805+0.06747</f>
        <v>0.11552000000000001</v>
      </c>
      <c r="AU29" s="41">
        <v>21</v>
      </c>
      <c r="AV29" s="41">
        <v>84</v>
      </c>
      <c r="AW29" s="41">
        <f>0.04277+0.06747</f>
        <v>0.11024</v>
      </c>
      <c r="AY29" s="41">
        <v>14</v>
      </c>
      <c r="AZ29" s="41">
        <f t="shared" si="3"/>
        <v>56</v>
      </c>
      <c r="BA29" s="41">
        <v>4.2770000000000002E-2</v>
      </c>
      <c r="BB29" s="41">
        <v>4.2770000000000002E-2</v>
      </c>
      <c r="BC29" s="41">
        <v>6.9260000000000002E-2</v>
      </c>
      <c r="BD29" s="41">
        <v>8.7400000000000005E-2</v>
      </c>
      <c r="BE29" s="41">
        <v>6.8449999999999997E-2</v>
      </c>
      <c r="BF29" s="41">
        <v>6.5310000000000007E-2</v>
      </c>
      <c r="BG29" s="41">
        <v>5.4760000000000003E-2</v>
      </c>
      <c r="BH29" s="41">
        <v>3.7229999999999999E-2</v>
      </c>
      <c r="BI29" s="41">
        <v>4.8959999999999997E-2</v>
      </c>
      <c r="BK29" s="41">
        <v>21</v>
      </c>
      <c r="BL29" s="41">
        <v>84</v>
      </c>
      <c r="BM29" s="41">
        <f>0.04025+0.06083</f>
        <v>0.10108</v>
      </c>
      <c r="BP29" s="41">
        <v>21</v>
      </c>
      <c r="BQ29" s="41">
        <v>84</v>
      </c>
      <c r="BR29" s="41">
        <f>0.04443+0.06083</f>
        <v>0.10525999999999999</v>
      </c>
      <c r="BT29" s="41">
        <v>14</v>
      </c>
      <c r="BU29" s="41">
        <f t="shared" si="4"/>
        <v>56</v>
      </c>
      <c r="BV29" s="41">
        <v>4.0250000000000001E-2</v>
      </c>
      <c r="BW29" s="41">
        <v>4.0250000000000001E-2</v>
      </c>
      <c r="BX29" s="41">
        <v>6.4240000000000005E-2</v>
      </c>
      <c r="BY29" s="41">
        <v>8.1070000000000003E-2</v>
      </c>
      <c r="BZ29" s="41">
        <v>6.3479999999999995E-2</v>
      </c>
      <c r="CA29" s="41">
        <v>6.0580000000000002E-2</v>
      </c>
      <c r="CB29" s="41">
        <v>5.0799999999999998E-2</v>
      </c>
      <c r="CC29" s="41">
        <v>3.4529999999999998E-2</v>
      </c>
      <c r="CD29" s="41">
        <v>4.5420000000000002E-2</v>
      </c>
      <c r="CE29" s="41">
        <f t="shared" si="7"/>
        <v>9.1049999999999992E-2</v>
      </c>
      <c r="CF29" s="41">
        <v>21</v>
      </c>
      <c r="CG29" s="41">
        <f>CF29/ts</f>
        <v>84</v>
      </c>
      <c r="CH29" s="41">
        <f>0.09451+0.09642</f>
        <v>0.19092999999999999</v>
      </c>
      <c r="CJ29" s="41">
        <v>21</v>
      </c>
      <c r="CK29" s="41">
        <f>CJ29/ts</f>
        <v>84</v>
      </c>
      <c r="CL29" s="41">
        <f>0.09596+0.09148</f>
        <v>0.18744</v>
      </c>
      <c r="CN29" s="41">
        <v>21</v>
      </c>
      <c r="CO29" s="41">
        <f>CN29/ts</f>
        <v>84</v>
      </c>
      <c r="CP29" s="41">
        <f>0.07922+0.07396</f>
        <v>0.15317999999999998</v>
      </c>
      <c r="DC29" s="41">
        <v>14</v>
      </c>
      <c r="DD29" s="41">
        <f>DC29/$B$1</f>
        <v>56</v>
      </c>
      <c r="DE29" s="41">
        <v>0.29674</v>
      </c>
      <c r="DG29" s="41">
        <v>0</v>
      </c>
      <c r="DH29" s="41">
        <f t="shared" ref="DH29:DH34" si="62">DG29/$B$1</f>
        <v>0</v>
      </c>
      <c r="DI29" s="41">
        <v>0.23233999999999999</v>
      </c>
      <c r="DL29" s="41">
        <v>21</v>
      </c>
      <c r="DM29" s="41">
        <f>DL29/$B$1</f>
        <v>84</v>
      </c>
      <c r="DN29" s="41">
        <v>0.29025000000000001</v>
      </c>
      <c r="DP29" s="41">
        <v>14</v>
      </c>
      <c r="DQ29" s="41">
        <f>DP29/$B$1</f>
        <v>56</v>
      </c>
      <c r="DR29" s="41">
        <v>0.20236000000000001</v>
      </c>
      <c r="DU29" s="41">
        <v>14</v>
      </c>
      <c r="DV29" s="41">
        <f>DU29/$B$1</f>
        <v>56</v>
      </c>
      <c r="DW29" s="41">
        <v>0.13236000000000001</v>
      </c>
      <c r="DZ29" s="41">
        <v>14</v>
      </c>
      <c r="EA29" s="41">
        <f>DZ29/$B$1</f>
        <v>56</v>
      </c>
      <c r="EB29" s="41">
        <v>0.14729999999999999</v>
      </c>
      <c r="EE29" s="41">
        <v>14</v>
      </c>
      <c r="EF29" s="41">
        <f>EE29/$B$1</f>
        <v>56</v>
      </c>
      <c r="EG29" s="41">
        <v>0.12672</v>
      </c>
      <c r="EJ29" s="41">
        <v>14</v>
      </c>
      <c r="EK29" s="41">
        <f>EJ29/$B$1</f>
        <v>56</v>
      </c>
      <c r="EL29" s="41">
        <v>0.13627</v>
      </c>
      <c r="EN29" s="45">
        <v>0</v>
      </c>
      <c r="EO29" s="41">
        <f>EN29/$B$1</f>
        <v>0</v>
      </c>
      <c r="EP29" s="41">
        <v>0.10218000000000001</v>
      </c>
      <c r="ES29" s="41">
        <v>0</v>
      </c>
      <c r="ET29" s="41">
        <f>ES29/$B$1</f>
        <v>0</v>
      </c>
      <c r="EU29" s="41">
        <v>0.10136000000000001</v>
      </c>
      <c r="EX29" s="41">
        <v>0</v>
      </c>
      <c r="EY29" s="41">
        <f>EX29/$B$1</f>
        <v>0</v>
      </c>
      <c r="EZ29" s="41">
        <v>9.2799999999999994E-2</v>
      </c>
      <c r="FC29" s="41">
        <v>0</v>
      </c>
      <c r="FD29" s="41">
        <f>FC29/$B$1</f>
        <v>0</v>
      </c>
      <c r="FE29" s="41">
        <f>0.12729+0.05903</f>
        <v>0.18631999999999999</v>
      </c>
      <c r="FN29" s="41">
        <v>13</v>
      </c>
      <c r="FO29" s="41">
        <f t="shared" si="36"/>
        <v>52</v>
      </c>
      <c r="FP29" s="41">
        <f t="shared" si="37"/>
        <v>1.4300000000000003E-3</v>
      </c>
      <c r="FQ29" s="41">
        <v>1.149E-2</v>
      </c>
      <c r="FR29" s="41">
        <f>58.7096444285714/(1000)</f>
        <v>5.8709644428571399E-2</v>
      </c>
      <c r="FS29" s="41">
        <f>42.52809585/(1000)</f>
        <v>4.2528095850000003E-2</v>
      </c>
      <c r="FT29" s="41">
        <f>36.9821463913044/(1000)</f>
        <v>3.6982146391304399E-2</v>
      </c>
      <c r="FU29" s="41">
        <f>56.8329563809524/(1000)</f>
        <v>5.6832956380952405E-2</v>
      </c>
      <c r="FV29" s="41">
        <f>62.8457131818182/(1000)</f>
        <v>6.2845713181818197E-2</v>
      </c>
      <c r="FW29" s="41">
        <f>70.8904454090909/(1000)</f>
        <v>7.0890445409090896E-2</v>
      </c>
      <c r="FX29" s="41">
        <f>108.95384547619/(1000)</f>
        <v>0.10895384547619</v>
      </c>
      <c r="FY29" s="41">
        <f>128.487214608696/(1000)</f>
        <v>0.128487214608696</v>
      </c>
      <c r="FZ29" s="41">
        <f>63.7659634090909/(1000)</f>
        <v>6.3765963409090895E-2</v>
      </c>
      <c r="GA29" s="41">
        <f>43.3533583333333/(1000)</f>
        <v>4.33533583333333E-2</v>
      </c>
      <c r="GB29" s="41">
        <f>38.7543165/(1000)</f>
        <v>3.8754316500000004E-2</v>
      </c>
      <c r="GC29" s="41">
        <f>31.7267518695652/(1000)</f>
        <v>3.1726751869565202E-2</v>
      </c>
      <c r="GD29" s="41">
        <f t="shared" si="38"/>
        <v>0.10594436722576696</v>
      </c>
      <c r="GE29" s="41">
        <f t="shared" si="39"/>
        <v>5.9386622866943115E-2</v>
      </c>
      <c r="GF29" s="41">
        <f t="shared" si="40"/>
        <v>7.4905870986551076E-2</v>
      </c>
      <c r="GT29" s="41">
        <v>13</v>
      </c>
      <c r="GU29" s="41">
        <f t="shared" si="41"/>
        <v>52</v>
      </c>
      <c r="GV29" s="55">
        <f t="shared" si="42"/>
        <v>4.2889999999999998E-2</v>
      </c>
      <c r="GW29" s="55">
        <f t="shared" si="43"/>
        <v>1.2379268000000001E-2</v>
      </c>
      <c r="GX29" s="41">
        <f>135.823777777778/(1000)</f>
        <v>0.13582377777777799</v>
      </c>
      <c r="GY29" s="41">
        <f>88.7252272727273/(1000)</f>
        <v>8.8725227272727289E-2</v>
      </c>
      <c r="GZ29" s="41">
        <f>52.8352727272728/(1000)</f>
        <v>5.28352727272728E-2</v>
      </c>
      <c r="HA29" s="41">
        <f>65.960652173913/(1000)</f>
        <v>6.5960652173913004E-2</v>
      </c>
      <c r="HB29" s="41">
        <f>82.3494230769231/(1000)</f>
        <v>8.2349423076923098E-2</v>
      </c>
      <c r="HC29" s="41">
        <f>85.8847916666667/(1000)</f>
        <v>8.5884791666666696E-2</v>
      </c>
      <c r="HD29" s="41">
        <f>114.724117647059/(1000)</f>
        <v>0.114724117647059</v>
      </c>
      <c r="HE29" s="41">
        <f>123.634255319149/(1000)</f>
        <v>0.12363425531914901</v>
      </c>
      <c r="HF29" s="41">
        <f>88.7122222222222/(1000)</f>
        <v>8.8712222222222192E-2</v>
      </c>
      <c r="HG29" s="41">
        <f>60.7944444444445/(1000)</f>
        <v>6.0794444444444498E-2</v>
      </c>
      <c r="HH29" s="41">
        <f>52.5774509803921/(1000)</f>
        <v>5.2577450980392099E-2</v>
      </c>
      <c r="HI29" s="41">
        <f>47.431568627451/(1000)</f>
        <v>4.7431568627451001E-2</v>
      </c>
      <c r="HJ29" s="41">
        <f t="shared" si="44"/>
        <v>0.15850811471377424</v>
      </c>
      <c r="HK29" s="41">
        <f t="shared" si="45"/>
        <v>0.12858149513511272</v>
      </c>
      <c r="HL29" s="41">
        <f t="shared" si="46"/>
        <v>0.13855703499466654</v>
      </c>
      <c r="HN29" s="45">
        <v>14</v>
      </c>
      <c r="HO29" s="41">
        <f t="shared" si="13"/>
        <v>56</v>
      </c>
      <c r="HP29" s="55">
        <f t="shared" si="14"/>
        <v>7.3499999999999998E-4</v>
      </c>
      <c r="HQ29" s="55">
        <f t="shared" si="15"/>
        <v>7.2500000000000004E-3</v>
      </c>
      <c r="HR29" s="41">
        <f>22.0329761904762/(1000)</f>
        <v>2.20329761904762E-2</v>
      </c>
      <c r="HS29" s="41">
        <f>26.866125/(1000)</f>
        <v>2.6866125000000001E-2</v>
      </c>
      <c r="HT29" s="41">
        <f>37.878152173913/(1000)</f>
        <v>3.7878152173913E-2</v>
      </c>
      <c r="HU29" s="41">
        <f>83.5830952380953/(1000)</f>
        <v>8.358309523809529E-2</v>
      </c>
      <c r="HV29" s="41">
        <f>418.691704545455/(1000)</f>
        <v>0.41869170454545501</v>
      </c>
      <c r="HW29" s="41">
        <f>153.007727272727/(1000)</f>
        <v>0.15300772727272702</v>
      </c>
      <c r="HX29" s="41">
        <f>359.956785714286/(1000)</f>
        <v>0.35995678571428602</v>
      </c>
      <c r="HY29" s="41">
        <f>156.925869565217/(1000)</f>
        <v>0.15692586956521701</v>
      </c>
      <c r="HZ29" s="41">
        <f>80.8565909090909/(1000)</f>
        <v>8.0856590909090892E-2</v>
      </c>
      <c r="IA29" s="41">
        <f>46.55/(1000)</f>
        <v>4.6549999999999994E-2</v>
      </c>
      <c r="IB29" s="41">
        <f>48.4614130434783/(1000)</f>
        <v>4.8461413043478299E-2</v>
      </c>
      <c r="IC29" s="41">
        <f>31.0196739130435/(1000)</f>
        <v>3.1019673913043503E-2</v>
      </c>
      <c r="ID29" s="41">
        <f t="shared" si="16"/>
        <v>0.2425934292066628</v>
      </c>
      <c r="IE29" s="41">
        <f t="shared" si="17"/>
        <v>0.11971674064132208</v>
      </c>
      <c r="IF29" s="41">
        <f t="shared" si="18"/>
        <v>0.16067563682976899</v>
      </c>
      <c r="IH29" s="45">
        <v>14</v>
      </c>
      <c r="II29" s="41">
        <f t="shared" si="19"/>
        <v>56</v>
      </c>
      <c r="IJ29" s="55">
        <f t="shared" si="20"/>
        <v>6.3699999999999998E-4</v>
      </c>
      <c r="IK29" s="55">
        <f t="shared" si="21"/>
        <v>7.2500000000000004E-3</v>
      </c>
      <c r="IL29" s="41">
        <f>21.9120238095238/(1000)</f>
        <v>2.1912023809523798E-2</v>
      </c>
      <c r="IM29" s="41">
        <f>25.38475/(1000)</f>
        <v>2.5384750000000001E-2</v>
      </c>
      <c r="IN29" s="41">
        <f>27.7265217391304/(1000)</f>
        <v>2.77265217391304E-2</v>
      </c>
      <c r="IO29" s="41">
        <f>55.7134523809524/(1000)</f>
        <v>5.5713452380952398E-2</v>
      </c>
      <c r="IP29" s="41">
        <f>180.330681818182/(1000)</f>
        <v>0.18033068181818199</v>
      </c>
      <c r="IQ29" s="41">
        <f>91.8760227272727/(1000)</f>
        <v>9.1876022727272702E-2</v>
      </c>
      <c r="IR29" s="41">
        <f>366.781428571429/(1000)</f>
        <v>0.36678142857142898</v>
      </c>
      <c r="IS29" s="41">
        <f>157.153695652174/(1000)</f>
        <v>0.15715369565217402</v>
      </c>
      <c r="IT29" s="41">
        <f>80.1736363636364/(1000)</f>
        <v>8.0173636363636405E-2</v>
      </c>
      <c r="IU29" s="41">
        <f>44.7160714285714/(1000)</f>
        <v>4.4716071428571397E-2</v>
      </c>
      <c r="IV29" s="41">
        <f>32.8323913043478/(1000)</f>
        <v>3.2832391304347799E-2</v>
      </c>
      <c r="IW29" s="41">
        <f>27.963152173913/(1000)</f>
        <v>2.7963152173913E-2</v>
      </c>
      <c r="IX29" s="41">
        <f t="shared" si="49"/>
        <v>0.22538224478578503</v>
      </c>
      <c r="IY29" s="41">
        <f t="shared" si="23"/>
        <v>7.2977475727284496E-2</v>
      </c>
      <c r="IZ29" s="41">
        <f t="shared" si="24"/>
        <v>0.12377906541345135</v>
      </c>
      <c r="JB29" s="45">
        <v>14</v>
      </c>
      <c r="JC29" s="41">
        <f t="shared" si="25"/>
        <v>56</v>
      </c>
      <c r="JD29" s="55">
        <v>4.1340000000000002E-2</v>
      </c>
      <c r="JE29" s="55">
        <f t="shared" si="26"/>
        <v>7.2500000000000004E-3</v>
      </c>
      <c r="JF29" s="41">
        <f>22.6125/(1000)</f>
        <v>2.2612500000000001E-2</v>
      </c>
      <c r="JG29" s="41">
        <f>22.079875/(1000)</f>
        <v>2.2079875000000002E-2</v>
      </c>
      <c r="JH29" s="41">
        <f>27.3436956521739/(1000)</f>
        <v>2.7343695652173899E-2</v>
      </c>
      <c r="JI29" s="41">
        <f>80.9727380952381/(1000)</f>
        <v>8.0972738095238098E-2</v>
      </c>
      <c r="JJ29" s="41">
        <f>201.9/(1000)</f>
        <v>0.2019</v>
      </c>
      <c r="JK29" s="41">
        <f>90.5667045454545/(1000)</f>
        <v>9.0566704545454499E-2</v>
      </c>
      <c r="JL29" s="41">
        <f>355.976666666667/(1000)</f>
        <v>0.355976666666667</v>
      </c>
      <c r="JM29" s="41">
        <f>158.587826086957/(1000)</f>
        <v>0.15858782608695698</v>
      </c>
      <c r="JN29" s="41">
        <f>77.9178409090909/(1000)</f>
        <v>7.7917840909090902E-2</v>
      </c>
      <c r="JO29" s="41">
        <f>48.3169047619048/(1000)</f>
        <v>4.8316904761904804E-2</v>
      </c>
      <c r="JP29" s="41">
        <f>34.1367391304348/(1000)</f>
        <v>3.4136739130434794E-2</v>
      </c>
      <c r="JQ29" s="41">
        <f>25.5684782608696/(1000)</f>
        <v>2.5568478260869599E-2</v>
      </c>
      <c r="JR29" s="41">
        <f t="shared" si="56"/>
        <v>0.26204282444005295</v>
      </c>
      <c r="JS29" s="41">
        <f t="shared" si="57"/>
        <v>0.12092295795322208</v>
      </c>
      <c r="JT29" s="41">
        <f t="shared" si="58"/>
        <v>0.16796291344883235</v>
      </c>
      <c r="JV29" s="41">
        <v>14</v>
      </c>
      <c r="JW29" s="41">
        <f t="shared" si="30"/>
        <v>56</v>
      </c>
      <c r="JX29" s="55">
        <f t="shared" si="31"/>
        <v>3.5310000000000001E-2</v>
      </c>
      <c r="JY29" s="55">
        <f t="shared" si="32"/>
        <v>7.2500000000000004E-3</v>
      </c>
      <c r="JZ29" s="41">
        <f>22.6125/(1000)</f>
        <v>2.2612500000000001E-2</v>
      </c>
      <c r="KA29" s="41">
        <f>22.079875/(1000)</f>
        <v>2.2079875000000002E-2</v>
      </c>
      <c r="KB29" s="41">
        <f>27.3436956521739/(1000)</f>
        <v>2.7343695652173899E-2</v>
      </c>
      <c r="KC29" s="41">
        <f>80.9727380952381/(1000)</f>
        <v>8.0972738095238098E-2</v>
      </c>
      <c r="KD29" s="41">
        <f>201.9/(1000)</f>
        <v>0.2019</v>
      </c>
      <c r="KE29" s="41">
        <f>90.5667045454545/(1000)</f>
        <v>9.0566704545454499E-2</v>
      </c>
      <c r="KF29" s="41">
        <f>355.976666666667/(1000)</f>
        <v>0.355976666666667</v>
      </c>
      <c r="KG29" s="41">
        <f>158.587826086957/(1000)</f>
        <v>0.15858782608695698</v>
      </c>
      <c r="KH29" s="41">
        <f>77.9178409090909/(1000)</f>
        <v>7.7917840909090902E-2</v>
      </c>
      <c r="KI29" s="41">
        <f>48.3169047619048/(1000)</f>
        <v>4.8316904761904804E-2</v>
      </c>
      <c r="KJ29" s="41">
        <f>34.1367391304348/(1000)</f>
        <v>3.4136739130434794E-2</v>
      </c>
      <c r="KK29" s="41">
        <f>25.5684782608696/(1000)</f>
        <v>2.5568478260869599E-2</v>
      </c>
      <c r="KL29" s="41">
        <f t="shared" si="59"/>
        <v>0.25601282444005297</v>
      </c>
      <c r="KM29" s="41">
        <f t="shared" si="60"/>
        <v>0.11489295795322207</v>
      </c>
      <c r="KN29" s="41">
        <f t="shared" si="61"/>
        <v>0.16193291344883237</v>
      </c>
    </row>
    <row r="30" spans="1:305">
      <c r="E30" s="41" t="s">
        <v>54</v>
      </c>
      <c r="F30" s="41" t="s">
        <v>57</v>
      </c>
      <c r="G30" s="41">
        <f>14.85+4.06</f>
        <v>18.91</v>
      </c>
      <c r="H30" s="41">
        <f>G30/(mo)</f>
        <v>0.62</v>
      </c>
      <c r="I30" s="41">
        <v>15</v>
      </c>
      <c r="J30" s="41">
        <f t="shared" si="1"/>
        <v>60</v>
      </c>
      <c r="K30" s="41">
        <f t="shared" si="5"/>
        <v>4.6989999999999997E-2</v>
      </c>
      <c r="L30" s="41">
        <v>4.1889999999999997E-2</v>
      </c>
      <c r="M30" s="41">
        <v>8.2419999999999993E-2</v>
      </c>
      <c r="N30" s="41">
        <v>8.584E-2</v>
      </c>
      <c r="O30" s="41">
        <v>7.7210000000000001E-2</v>
      </c>
      <c r="P30" s="41">
        <v>8.1059999999999993E-2</v>
      </c>
      <c r="Q30" s="41">
        <v>7.3160000000000003E-2</v>
      </c>
      <c r="R30" s="41">
        <v>6.0569999999999999E-2</v>
      </c>
      <c r="S30" s="41">
        <v>7.1510000000000004E-2</v>
      </c>
      <c r="U30" s="55" t="s">
        <v>54</v>
      </c>
      <c r="V30" s="55" t="s">
        <v>57</v>
      </c>
      <c r="W30" s="55">
        <f>12.14+0.99</f>
        <v>13.13</v>
      </c>
      <c r="X30" s="41">
        <f>W30/(mo)</f>
        <v>0.43049180327868852</v>
      </c>
      <c r="Z30" s="41" t="s">
        <v>54</v>
      </c>
      <c r="AA30" s="41" t="s">
        <v>57</v>
      </c>
      <c r="AB30" s="41">
        <f>17.57+5.56+4.78</f>
        <v>27.91</v>
      </c>
      <c r="AC30" s="41">
        <f>AB30/(mo)</f>
        <v>0.91508196721311474</v>
      </c>
      <c r="AD30" s="41">
        <v>15</v>
      </c>
      <c r="AE30" s="41">
        <f t="shared" si="2"/>
        <v>60</v>
      </c>
      <c r="AF30" s="41">
        <f t="shared" si="6"/>
        <v>4.6050000000000001E-2</v>
      </c>
      <c r="AG30" s="41">
        <f t="shared" si="6"/>
        <v>4.6050000000000001E-2</v>
      </c>
      <c r="AH30" s="41">
        <v>7.8119999999999995E-2</v>
      </c>
      <c r="AI30" s="41">
        <v>8.1350000000000006E-2</v>
      </c>
      <c r="AJ30" s="41">
        <v>7.3169999999999999E-2</v>
      </c>
      <c r="AK30" s="41">
        <v>7.6819999999999999E-2</v>
      </c>
      <c r="AL30" s="41">
        <v>6.9339999999999999E-2</v>
      </c>
      <c r="AM30" s="41">
        <v>5.74E-2</v>
      </c>
      <c r="AN30" s="41">
        <v>6.7769999999999997E-2</v>
      </c>
      <c r="AP30" s="55" t="s">
        <v>54</v>
      </c>
      <c r="AQ30" s="55" t="s">
        <v>57</v>
      </c>
      <c r="AR30" s="55">
        <f>12.93+0.84</f>
        <v>13.77</v>
      </c>
      <c r="AS30" s="41">
        <f>AR30/(mo)</f>
        <v>0.45147540983606554</v>
      </c>
      <c r="AU30" s="55" t="s">
        <v>54</v>
      </c>
      <c r="AV30" s="55" t="s">
        <v>57</v>
      </c>
      <c r="AW30" s="55">
        <f>18.94+5.47+4.06</f>
        <v>28.47</v>
      </c>
      <c r="AX30" s="41">
        <f>AW30/(mo)</f>
        <v>0.93344262295081959</v>
      </c>
      <c r="AY30" s="41">
        <v>15</v>
      </c>
      <c r="AZ30" s="41">
        <f t="shared" si="3"/>
        <v>60</v>
      </c>
      <c r="BA30" s="41">
        <v>4.2770000000000002E-2</v>
      </c>
      <c r="BB30" s="41">
        <v>4.2770000000000002E-2</v>
      </c>
      <c r="BC30" s="41">
        <v>7.288E-2</v>
      </c>
      <c r="BD30" s="41">
        <v>7.5899999999999995E-2</v>
      </c>
      <c r="BE30" s="41">
        <v>6.8269999999999997E-2</v>
      </c>
      <c r="BF30" s="41">
        <v>7.1679999999999994E-2</v>
      </c>
      <c r="BG30" s="41">
        <v>6.4689999999999998E-2</v>
      </c>
      <c r="BH30" s="41">
        <v>5.3560000000000003E-2</v>
      </c>
      <c r="BI30" s="41">
        <v>6.3229999999999995E-2</v>
      </c>
      <c r="BK30" s="55" t="s">
        <v>54</v>
      </c>
      <c r="BL30" s="55" t="s">
        <v>57</v>
      </c>
      <c r="BM30" s="41">
        <f>19.54+5.33+5.22</f>
        <v>30.089999999999996</v>
      </c>
      <c r="BN30" s="41">
        <f>BM30/(mo)</f>
        <v>0.98655737704918023</v>
      </c>
      <c r="BP30" s="55" t="s">
        <v>54</v>
      </c>
      <c r="BQ30" s="41" t="s">
        <v>94</v>
      </c>
      <c r="BR30" s="41">
        <v>13.42</v>
      </c>
      <c r="BS30" s="41">
        <f>BR30/(mo)</f>
        <v>0.44</v>
      </c>
      <c r="BT30" s="41">
        <v>15</v>
      </c>
      <c r="BU30" s="41">
        <f t="shared" si="4"/>
        <v>60</v>
      </c>
      <c r="BV30" s="41">
        <v>4.0250000000000001E-2</v>
      </c>
      <c r="BW30" s="41">
        <v>4.0250000000000001E-2</v>
      </c>
      <c r="BX30" s="41">
        <v>6.7599999999999993E-2</v>
      </c>
      <c r="BY30" s="41">
        <v>7.0400000000000004E-2</v>
      </c>
      <c r="BZ30" s="41">
        <v>6.3320000000000001E-2</v>
      </c>
      <c r="CA30" s="41">
        <v>6.6479999999999997E-2</v>
      </c>
      <c r="CB30" s="41">
        <v>0.06</v>
      </c>
      <c r="CC30" s="41">
        <v>4.9680000000000002E-2</v>
      </c>
      <c r="CD30" s="41">
        <v>5.8650000000000001E-2</v>
      </c>
      <c r="CE30" s="41">
        <f t="shared" si="7"/>
        <v>0.10025000000000001</v>
      </c>
      <c r="DC30" s="41">
        <v>16</v>
      </c>
      <c r="DD30" s="41">
        <f>DC30/$B$1</f>
        <v>64</v>
      </c>
      <c r="DE30" s="41">
        <v>0.31285000000000002</v>
      </c>
      <c r="DG30" s="41">
        <v>9</v>
      </c>
      <c r="DH30" s="41">
        <f t="shared" si="62"/>
        <v>36</v>
      </c>
      <c r="DI30" s="41">
        <v>0.21592</v>
      </c>
      <c r="DP30" s="41">
        <v>16</v>
      </c>
      <c r="DQ30" s="41">
        <f>DP30/$B$1</f>
        <v>64</v>
      </c>
      <c r="DR30" s="41">
        <v>0.23784</v>
      </c>
      <c r="DU30" s="41">
        <v>16</v>
      </c>
      <c r="DV30" s="41">
        <f>DU30/$B$1</f>
        <v>64</v>
      </c>
      <c r="DW30" s="41">
        <v>0.17235</v>
      </c>
      <c r="DZ30" s="41">
        <v>16</v>
      </c>
      <c r="EA30" s="41">
        <f>DZ30/$B$1</f>
        <v>64</v>
      </c>
      <c r="EB30" s="41">
        <v>0.18962000000000001</v>
      </c>
      <c r="EE30" s="41">
        <v>16</v>
      </c>
      <c r="EF30" s="41">
        <f>EE30/$B$1</f>
        <v>64</v>
      </c>
      <c r="EG30" s="41">
        <v>0.16683999999999999</v>
      </c>
      <c r="EJ30" s="41">
        <v>16</v>
      </c>
      <c r="EK30" s="41">
        <f>EJ30/$B$1</f>
        <v>64</v>
      </c>
      <c r="EL30" s="41">
        <v>0.18</v>
      </c>
      <c r="EN30" s="45">
        <v>6</v>
      </c>
      <c r="EO30" s="41">
        <f>EN30/$B$1</f>
        <v>24</v>
      </c>
      <c r="EP30" s="41">
        <v>0.11448999999999999</v>
      </c>
      <c r="ES30" s="41">
        <v>6</v>
      </c>
      <c r="ET30" s="41">
        <f>ES30/$B$1</f>
        <v>24</v>
      </c>
      <c r="EU30" s="41">
        <v>0.12801000000000001</v>
      </c>
      <c r="EX30" s="41">
        <v>6</v>
      </c>
      <c r="EY30" s="41">
        <f>EX30/$B$1</f>
        <v>24</v>
      </c>
      <c r="EZ30" s="41">
        <v>0.11693000000000001</v>
      </c>
      <c r="FC30" s="41">
        <v>6</v>
      </c>
      <c r="FD30" s="41">
        <f>FC30/$B$1</f>
        <v>24</v>
      </c>
      <c r="FE30" s="41">
        <f>0.12729+0.0764</f>
        <v>0.20368999999999998</v>
      </c>
      <c r="FN30" s="41">
        <v>14</v>
      </c>
      <c r="FO30" s="41">
        <f t="shared" si="36"/>
        <v>56</v>
      </c>
      <c r="FP30" s="41">
        <f t="shared" si="37"/>
        <v>1.4300000000000003E-3</v>
      </c>
      <c r="FQ30" s="41">
        <v>1.149E-2</v>
      </c>
      <c r="FR30" s="41">
        <f>57.3689813809524/(1000)</f>
        <v>5.7368981380952401E-2</v>
      </c>
      <c r="FS30" s="41">
        <f>41.4590122/(1000)</f>
        <v>4.1459012199999999E-2</v>
      </c>
      <c r="FT30" s="41">
        <f>35.7533137391304/(1000)</f>
        <v>3.5753313739130398E-2</v>
      </c>
      <c r="FU30" s="41">
        <f>55.326928/(1000)</f>
        <v>5.5326928000000004E-2</v>
      </c>
      <c r="FV30" s="41">
        <f>64.2082457727273/(1000)</f>
        <v>6.4208245772727296E-2</v>
      </c>
      <c r="FW30" s="41">
        <f>73.7874030909091/(1000)</f>
        <v>7.3787403090909101E-2</v>
      </c>
      <c r="FX30" s="41">
        <f>116.405232/(1000)</f>
        <v>0.116405232</v>
      </c>
      <c r="FY30" s="41">
        <f>137.612626/(1000)</f>
        <v>0.13761262600000002</v>
      </c>
      <c r="FZ30" s="41">
        <f>67.4273612727273/(1000)</f>
        <v>6.742736127272729E-2</v>
      </c>
      <c r="GA30" s="41">
        <f>43.4809335714286/(1000)</f>
        <v>4.3480933571428598E-2</v>
      </c>
      <c r="GB30" s="41">
        <f>38.3837598181818/(1000)</f>
        <v>3.8383759818181803E-2</v>
      </c>
      <c r="GC30" s="41">
        <f>31.4105492173913/(1000)</f>
        <v>3.1410549217391302E-2</v>
      </c>
      <c r="GD30" s="41">
        <f t="shared" si="38"/>
        <v>0.11172815559090911</v>
      </c>
      <c r="GE30" s="41">
        <f t="shared" si="39"/>
        <v>5.8843965462476479E-2</v>
      </c>
      <c r="GF30" s="41">
        <f t="shared" si="40"/>
        <v>7.647202883862067E-2</v>
      </c>
      <c r="GT30" s="41">
        <v>14</v>
      </c>
      <c r="GU30" s="41">
        <f t="shared" si="41"/>
        <v>56</v>
      </c>
      <c r="GV30" s="55">
        <f t="shared" si="42"/>
        <v>4.2889999999999998E-2</v>
      </c>
      <c r="GW30" s="55">
        <f t="shared" si="43"/>
        <v>1.2379268000000001E-2</v>
      </c>
      <c r="GX30" s="41">
        <f>129.969333333333/(1000)</f>
        <v>0.12996933333333299</v>
      </c>
      <c r="GY30" s="41">
        <f>86.4931818181818/(1000)</f>
        <v>8.6493181818181802E-2</v>
      </c>
      <c r="GZ30" s="41">
        <f>51.8605454545454/(1000)</f>
        <v>5.1860545454545402E-2</v>
      </c>
      <c r="HA30" s="41">
        <f>64.9184782608695/(1000)</f>
        <v>6.4918478260869508E-2</v>
      </c>
      <c r="HB30" s="41">
        <f>83.9273076923077/(1000)</f>
        <v>8.3927307692307704E-2</v>
      </c>
      <c r="HC30" s="41">
        <f>88.6820833333333/(1000)</f>
        <v>8.86820833333333E-2</v>
      </c>
      <c r="HD30" s="41">
        <f>122.377647058824/(1000)</f>
        <v>0.12237764705882399</v>
      </c>
      <c r="HE30" s="41">
        <f>128.150638297872/(1000)</f>
        <v>0.12815063829787202</v>
      </c>
      <c r="HF30" s="41">
        <f>90.7348148148147/(1000)</f>
        <v>9.0734814814814699E-2</v>
      </c>
      <c r="HG30" s="41">
        <f>60.5422222222222/(1000)</f>
        <v>6.0542222222222199E-2</v>
      </c>
      <c r="HH30" s="41">
        <f>52.9372549019608/(1000)</f>
        <v>5.2937254901960801E-2</v>
      </c>
      <c r="HI30" s="41">
        <f>46.8719607843137/(1000)</f>
        <v>4.6871960784313701E-2</v>
      </c>
      <c r="HJ30" s="41">
        <f t="shared" si="44"/>
        <v>0.16275556387621098</v>
      </c>
      <c r="HK30" s="41">
        <f t="shared" si="45"/>
        <v>0.12745930355846674</v>
      </c>
      <c r="HL30" s="41">
        <f t="shared" si="46"/>
        <v>0.13922472366438149</v>
      </c>
      <c r="HN30" s="45">
        <v>15</v>
      </c>
      <c r="HO30" s="41">
        <f t="shared" si="13"/>
        <v>60</v>
      </c>
      <c r="HP30" s="55">
        <f t="shared" si="14"/>
        <v>7.3499999999999998E-4</v>
      </c>
      <c r="HQ30" s="55">
        <f t="shared" si="15"/>
        <v>7.2500000000000004E-3</v>
      </c>
      <c r="HR30" s="41">
        <f>21.6822619047619/(1000)</f>
        <v>2.1682261904761902E-2</v>
      </c>
      <c r="HS30" s="41">
        <f>26.033625/(1000)</f>
        <v>2.6033625000000001E-2</v>
      </c>
      <c r="HT30" s="41">
        <f>37.411847826087/(1000)</f>
        <v>3.7411847826086995E-2</v>
      </c>
      <c r="HU30" s="41">
        <f>98.8060714285714/(1000)</f>
        <v>9.8806071428571396E-2</v>
      </c>
      <c r="HV30" s="41">
        <f>555.870227272727/(1000)</f>
        <v>0.55587022727272695</v>
      </c>
      <c r="HW30" s="41">
        <f>147.138636363636/(1000)</f>
        <v>0.147138636363636</v>
      </c>
      <c r="HX30" s="41">
        <f>529.283452380952/(1000)</f>
        <v>0.52928345238095198</v>
      </c>
      <c r="HY30" s="41">
        <f>147.784347826087/(1000)</f>
        <v>0.14778434782608699</v>
      </c>
      <c r="HZ30" s="41">
        <f>89.5179545454545/(1000)</f>
        <v>8.9517954545454498E-2</v>
      </c>
      <c r="IA30" s="41">
        <f>50.7157142857143/(1000)</f>
        <v>5.0715714285714301E-2</v>
      </c>
      <c r="IB30" s="41">
        <f>49.41/(1000)</f>
        <v>4.9409999999999996E-2</v>
      </c>
      <c r="IC30" s="41">
        <f>30.1164130434783/(1000)</f>
        <v>3.0116413043478299E-2</v>
      </c>
      <c r="ID30" s="41">
        <f t="shared" si="16"/>
        <v>0.29352387222379051</v>
      </c>
      <c r="IE30" s="41">
        <f t="shared" si="17"/>
        <v>0.14392971261895934</v>
      </c>
      <c r="IF30" s="41">
        <f>SUM(HP30:HQ30)+AVERAGE(HR30:IC30)*125%</f>
        <v>0.19379443248723638</v>
      </c>
      <c r="IH30" s="45">
        <v>15</v>
      </c>
      <c r="II30" s="41">
        <f t="shared" si="19"/>
        <v>60</v>
      </c>
      <c r="IJ30" s="55">
        <f t="shared" si="20"/>
        <v>6.3699999999999998E-4</v>
      </c>
      <c r="IK30" s="55">
        <f t="shared" si="21"/>
        <v>7.2500000000000004E-3</v>
      </c>
      <c r="IL30" s="41">
        <f>21.899880952381/(1000)</f>
        <v>2.1899880952381E-2</v>
      </c>
      <c r="IM30" s="41">
        <f>24.6935/(1000)</f>
        <v>2.46935E-2</v>
      </c>
      <c r="IN30" s="41">
        <f>26.5567391304348/(1000)</f>
        <v>2.6556739130434798E-2</v>
      </c>
      <c r="IO30" s="41">
        <f>60.0234523809524/(1000)</f>
        <v>6.00234523809524E-2</v>
      </c>
      <c r="IP30" s="41">
        <f>213.501022727273/(1000)</f>
        <v>0.213501022727273</v>
      </c>
      <c r="IQ30" s="41">
        <f>87.7028409090909/(1000)</f>
        <v>8.770284090909089E-2</v>
      </c>
      <c r="IR30" s="41">
        <f>554.838095238095/(1000)</f>
        <v>0.55483809523809502</v>
      </c>
      <c r="IS30" s="41">
        <f>147.94347826087/(1000)</f>
        <v>0.14794347826086998</v>
      </c>
      <c r="IT30" s="41">
        <f>85.8376136363636/(1000)</f>
        <v>8.5837613636363594E-2</v>
      </c>
      <c r="IU30" s="41">
        <f>47.7780952380952/(1000)</f>
        <v>4.7778095238095196E-2</v>
      </c>
      <c r="IV30" s="41">
        <f>33.5310869565217/(1000)</f>
        <v>3.3531086956521697E-2</v>
      </c>
      <c r="IW30" s="41">
        <f>28.8575/(1000)</f>
        <v>2.8857500000000001E-2</v>
      </c>
      <c r="IX30" s="41">
        <f t="shared" si="49"/>
        <v>0.28173763376388106</v>
      </c>
      <c r="IY30" s="41">
        <f t="shared" si="23"/>
        <v>7.9268449591509083E-2</v>
      </c>
      <c r="IZ30" s="41">
        <f>SUM(IJ30:IK30)+AVERAGE(IL30:IW30)*125%</f>
        <v>0.14675817764896645</v>
      </c>
      <c r="JB30" s="45">
        <v>15</v>
      </c>
      <c r="JC30" s="41">
        <f t="shared" si="25"/>
        <v>60</v>
      </c>
      <c r="JD30" s="55">
        <v>4.1340000000000002E-2</v>
      </c>
      <c r="JE30" s="55">
        <f t="shared" si="26"/>
        <v>7.2500000000000004E-3</v>
      </c>
      <c r="JF30" s="41">
        <f>22.3139285714286/(1000)</f>
        <v>2.2313928571428603E-2</v>
      </c>
      <c r="JG30" s="41">
        <f>21.653/(1000)</f>
        <v>2.1652999999999999E-2</v>
      </c>
      <c r="JH30" s="41">
        <f>25.4529347826087/(1000)</f>
        <v>2.54529347826087E-2</v>
      </c>
      <c r="JI30" s="41">
        <f>111.729523809524/(1000)</f>
        <v>0.111729523809524</v>
      </c>
      <c r="JJ30" s="41">
        <f>277.068522727273/(1000)</f>
        <v>0.277068522727273</v>
      </c>
      <c r="JK30" s="41">
        <f>85.0170454545455/(1000)</f>
        <v>8.5017045454545498E-2</v>
      </c>
      <c r="JL30" s="41">
        <f>531.373928571428/(1000)</f>
        <v>0.53137392857142796</v>
      </c>
      <c r="JM30" s="41">
        <f>146.947065217391/(1000)</f>
        <v>0.14694706521739101</v>
      </c>
      <c r="JN30" s="41">
        <f>83.4720454545455/(1000)</f>
        <v>8.3472045454545493E-2</v>
      </c>
      <c r="JO30" s="41">
        <f>53.634880952381/(1000)</f>
        <v>5.3634880952381003E-2</v>
      </c>
      <c r="JP30" s="41">
        <f>33.6970652173913/(1000)</f>
        <v>3.3697065217391298E-2</v>
      </c>
      <c r="JQ30" s="41">
        <f>25.7151086956522/(1000)</f>
        <v>2.5715108695652203E-2</v>
      </c>
      <c r="JR30" s="41">
        <f t="shared" si="56"/>
        <v>0.31321815146809684</v>
      </c>
      <c r="JS30" s="41">
        <f t="shared" si="57"/>
        <v>0.13785015074316545</v>
      </c>
      <c r="JT30" s="41">
        <f>SUM(JD30:JE30)+AVERAGE(JF30:JQ30)*125%</f>
        <v>0.19630615098480925</v>
      </c>
      <c r="JV30" s="41">
        <v>15</v>
      </c>
      <c r="JW30" s="41">
        <f t="shared" si="30"/>
        <v>60</v>
      </c>
      <c r="JX30" s="55">
        <f t="shared" si="31"/>
        <v>3.5310000000000001E-2</v>
      </c>
      <c r="JY30" s="55">
        <f t="shared" si="32"/>
        <v>7.2500000000000004E-3</v>
      </c>
      <c r="JZ30" s="41">
        <f>22.3139285714286/(1000)</f>
        <v>2.2313928571428603E-2</v>
      </c>
      <c r="KA30" s="41">
        <f>21.653/(1000)</f>
        <v>2.1652999999999999E-2</v>
      </c>
      <c r="KB30" s="41">
        <f>25.4529347826087/(1000)</f>
        <v>2.54529347826087E-2</v>
      </c>
      <c r="KC30" s="41">
        <f>111.729523809524/(1000)</f>
        <v>0.111729523809524</v>
      </c>
      <c r="KD30" s="41">
        <f>277.068522727273/(1000)</f>
        <v>0.277068522727273</v>
      </c>
      <c r="KE30" s="41">
        <f>85.0170454545455/(1000)</f>
        <v>8.5017045454545498E-2</v>
      </c>
      <c r="KF30" s="41">
        <f>531.373928571428/(1000)</f>
        <v>0.53137392857142796</v>
      </c>
      <c r="KG30" s="41">
        <f>146.947065217391/(1000)</f>
        <v>0.14694706521739101</v>
      </c>
      <c r="KH30" s="41">
        <f>83.4720454545455/(1000)</f>
        <v>8.3472045454545493E-2</v>
      </c>
      <c r="KI30" s="41">
        <f>53.634880952381/(1000)</f>
        <v>5.3634880952381003E-2</v>
      </c>
      <c r="KJ30" s="41">
        <f>33.6970652173913/(1000)</f>
        <v>3.3697065217391298E-2</v>
      </c>
      <c r="KK30" s="41">
        <f>25.7151086956522/(1000)</f>
        <v>2.5715108695652203E-2</v>
      </c>
      <c r="KL30" s="41">
        <f t="shared" si="59"/>
        <v>0.3071881514680968</v>
      </c>
      <c r="KM30" s="41">
        <f t="shared" si="60"/>
        <v>0.13182015074316544</v>
      </c>
      <c r="KN30" s="41">
        <f>SUM(JX30:JY30)+AVERAGE(JZ30:KK30)*125%</f>
        <v>0.19027615098480927</v>
      </c>
    </row>
    <row r="31" spans="1:305">
      <c r="I31" s="41">
        <v>16</v>
      </c>
      <c r="J31" s="41">
        <f t="shared" si="1"/>
        <v>64</v>
      </c>
      <c r="K31" s="41">
        <f>0.08218</f>
        <v>8.2180000000000003E-2</v>
      </c>
      <c r="L31" s="41">
        <f>0.08218</f>
        <v>8.2180000000000003E-2</v>
      </c>
      <c r="M31" s="41">
        <v>8.7160000000000001E-2</v>
      </c>
      <c r="N31" s="41">
        <v>9.0550000000000005E-2</v>
      </c>
      <c r="O31" s="41">
        <v>7.9339999999999994E-2</v>
      </c>
      <c r="P31" s="41">
        <v>9.9199999999999997E-2</v>
      </c>
      <c r="Q31" s="41">
        <v>8.3349999999999994E-2</v>
      </c>
      <c r="R31" s="41">
        <v>7.9039999999999999E-2</v>
      </c>
      <c r="S31" s="41">
        <v>8.2229999999999998E-2</v>
      </c>
      <c r="AD31" s="41">
        <v>16</v>
      </c>
      <c r="AE31" s="41">
        <f t="shared" si="2"/>
        <v>64</v>
      </c>
      <c r="AF31" s="41">
        <f t="shared" si="6"/>
        <v>4.6050000000000001E-2</v>
      </c>
      <c r="AG31" s="41">
        <f t="shared" si="6"/>
        <v>4.6050000000000001E-2</v>
      </c>
      <c r="AH31" s="41">
        <v>8.2600000000000007E-2</v>
      </c>
      <c r="AI31" s="41">
        <v>8.5809999999999997E-2</v>
      </c>
      <c r="AJ31" s="41">
        <v>7.5200000000000003E-2</v>
      </c>
      <c r="AK31" s="41">
        <v>9.4009999999999996E-2</v>
      </c>
      <c r="AL31" s="41">
        <v>7.8990000000000005E-2</v>
      </c>
      <c r="AM31" s="41">
        <v>7.4899999999999994E-2</v>
      </c>
      <c r="AN31" s="41">
        <v>7.7929999999999999E-2</v>
      </c>
      <c r="AY31" s="41">
        <v>16</v>
      </c>
      <c r="AZ31" s="41">
        <f t="shared" si="3"/>
        <v>64</v>
      </c>
      <c r="BA31" s="41">
        <v>4.2770000000000002E-2</v>
      </c>
      <c r="BB31" s="41">
        <v>4.2770000000000002E-2</v>
      </c>
      <c r="BC31" s="41">
        <v>7.707E-2</v>
      </c>
      <c r="BD31" s="41">
        <v>8.0060000000000006E-2</v>
      </c>
      <c r="BE31" s="41">
        <v>7.016E-2</v>
      </c>
      <c r="BF31" s="41">
        <v>8.7709999999999996E-2</v>
      </c>
      <c r="BG31" s="41">
        <v>7.3700000000000002E-2</v>
      </c>
      <c r="BH31" s="41">
        <v>6.9889999999999994E-2</v>
      </c>
      <c r="BI31" s="41">
        <v>7.2709999999999997E-2</v>
      </c>
      <c r="BT31" s="41">
        <v>16</v>
      </c>
      <c r="BU31" s="41">
        <f t="shared" si="4"/>
        <v>64</v>
      </c>
      <c r="BV31" s="41">
        <v>4.0250000000000001E-2</v>
      </c>
      <c r="BW31" s="41">
        <v>4.0250000000000001E-2</v>
      </c>
      <c r="BX31" s="41">
        <v>7.1480000000000002E-2</v>
      </c>
      <c r="BY31" s="41">
        <v>7.4260000000000007E-2</v>
      </c>
      <c r="BZ31" s="41">
        <v>6.5070000000000003E-2</v>
      </c>
      <c r="CA31" s="41">
        <v>8.1360000000000002E-2</v>
      </c>
      <c r="CB31" s="41">
        <v>6.8360000000000004E-2</v>
      </c>
      <c r="CC31" s="41">
        <v>6.4820000000000003E-2</v>
      </c>
      <c r="CD31" s="41">
        <v>6.744E-2</v>
      </c>
      <c r="CE31" s="41">
        <f t="shared" si="7"/>
        <v>0.10861000000000001</v>
      </c>
      <c r="CF31" s="39"/>
      <c r="CG31" s="39"/>
      <c r="CH31" s="39"/>
      <c r="DC31" s="41">
        <v>21</v>
      </c>
      <c r="DD31" s="41">
        <f>DC31/$B$1</f>
        <v>84</v>
      </c>
      <c r="DE31" s="41">
        <v>0.29674</v>
      </c>
      <c r="DG31" s="41">
        <v>14</v>
      </c>
      <c r="DH31" s="41">
        <f t="shared" si="62"/>
        <v>56</v>
      </c>
      <c r="DI31" s="41">
        <v>0.32139000000000001</v>
      </c>
      <c r="DP31" s="41">
        <v>21</v>
      </c>
      <c r="DQ31" s="41">
        <f>DP31/$B$1</f>
        <v>84</v>
      </c>
      <c r="DR31" s="41">
        <v>0.20236000000000001</v>
      </c>
      <c r="DU31" s="41">
        <v>21</v>
      </c>
      <c r="DV31" s="41">
        <f>DU31/$B$1</f>
        <v>84</v>
      </c>
      <c r="DW31" s="41">
        <v>0.13236000000000001</v>
      </c>
      <c r="DZ31" s="41">
        <v>21</v>
      </c>
      <c r="EA31" s="41">
        <f>DZ31/$B$1</f>
        <v>84</v>
      </c>
      <c r="EB31" s="41">
        <v>0.14729999999999999</v>
      </c>
      <c r="EE31" s="41">
        <v>21</v>
      </c>
      <c r="EF31" s="41">
        <f>EE31/$B$1</f>
        <v>84</v>
      </c>
      <c r="EG31" s="41">
        <v>0.12672</v>
      </c>
      <c r="EJ31" s="41">
        <v>21</v>
      </c>
      <c r="EK31" s="41">
        <f>EJ31/$B$1</f>
        <v>84</v>
      </c>
      <c r="EL31" s="41">
        <v>0.13627</v>
      </c>
      <c r="EN31" s="45">
        <v>16</v>
      </c>
      <c r="EO31" s="41">
        <f>EN31/$B$1</f>
        <v>64</v>
      </c>
      <c r="EP31" s="41">
        <v>0.23960999999999999</v>
      </c>
      <c r="ES31" s="41">
        <v>16</v>
      </c>
      <c r="ET31" s="41">
        <f>ES31/$B$1</f>
        <v>64</v>
      </c>
      <c r="EU31" s="41">
        <v>0.21992999999999999</v>
      </c>
      <c r="EX31" s="41">
        <v>16</v>
      </c>
      <c r="EY31" s="41">
        <f>EX31/$B$1</f>
        <v>64</v>
      </c>
      <c r="EZ31" s="41">
        <v>0.20016999999999999</v>
      </c>
      <c r="FC31" s="41">
        <v>16</v>
      </c>
      <c r="FD31" s="41">
        <f>FC31/$B$1</f>
        <v>64</v>
      </c>
      <c r="FE31" s="41">
        <f>0.12729+0.13581</f>
        <v>0.2631</v>
      </c>
      <c r="FN31" s="41">
        <v>15</v>
      </c>
      <c r="FO31" s="41">
        <f t="shared" si="36"/>
        <v>60</v>
      </c>
      <c r="FP31" s="41">
        <f t="shared" si="37"/>
        <v>1.4300000000000003E-3</v>
      </c>
      <c r="FQ31" s="41">
        <v>1.149E-2</v>
      </c>
      <c r="FR31" s="41">
        <f>59.3685669047619/(1000)</f>
        <v>5.9368566904761902E-2</v>
      </c>
      <c r="FS31" s="41">
        <f>41.9314316/(1000)</f>
        <v>4.1931431600000006E-2</v>
      </c>
      <c r="FT31" s="41">
        <f>35.4342346956522/(1000)</f>
        <v>3.5434234695652198E-2</v>
      </c>
      <c r="FU31" s="41">
        <f>53.7893127619048/(1000)</f>
        <v>5.3789312761904802E-2</v>
      </c>
      <c r="FV31" s="41">
        <f>65.995909/(1000)</f>
        <v>6.5995908999999991E-2</v>
      </c>
      <c r="FW31" s="41">
        <f>78.7278483181818/(1000)</f>
        <v>7.8727848318181803E-2</v>
      </c>
      <c r="FX31" s="41">
        <f>126.656532190476/(1000)</f>
        <v>0.12665653219047601</v>
      </c>
      <c r="FY31" s="41">
        <f>155.443010434783/(1000)</f>
        <v>0.15544301043478298</v>
      </c>
      <c r="FZ31" s="41">
        <f>72.3637504090909/(1000)</f>
        <v>7.2363750409090905E-2</v>
      </c>
      <c r="GA31" s="41">
        <f>41.7945873809524/(1000)</f>
        <v>4.1794587380952403E-2</v>
      </c>
      <c r="GB31" s="41">
        <f>40.2485256363636/(1000)</f>
        <v>4.0248525636363601E-2</v>
      </c>
      <c r="GC31" s="41">
        <f>31.9515703043478/(1000)</f>
        <v>3.1951570304347802E-2</v>
      </c>
      <c r="GD31" s="41">
        <f t="shared" si="38"/>
        <v>0.12121778533813292</v>
      </c>
      <c r="GE31" s="41">
        <f t="shared" si="39"/>
        <v>5.9234267285497841E-2</v>
      </c>
      <c r="GF31" s="41">
        <f t="shared" si="40"/>
        <v>7.9895439969709534E-2</v>
      </c>
      <c r="GT31" s="41">
        <v>15</v>
      </c>
      <c r="GU31" s="41">
        <f t="shared" si="41"/>
        <v>60</v>
      </c>
      <c r="GV31" s="55">
        <f t="shared" si="42"/>
        <v>4.2889999999999998E-2</v>
      </c>
      <c r="GW31" s="55">
        <f t="shared" si="43"/>
        <v>1.2379268000000001E-2</v>
      </c>
      <c r="GX31" s="41">
        <f>137.751777777778/(1000)</f>
        <v>0.137751777777778</v>
      </c>
      <c r="GY31" s="41">
        <f>87.7138636363636/(1000)</f>
        <v>8.7713863636363604E-2</v>
      </c>
      <c r="GZ31" s="41">
        <f>52.5432727272727/(1000)</f>
        <v>5.2543272727272702E-2</v>
      </c>
      <c r="HA31" s="41">
        <f>65.1823913043478/(1000)</f>
        <v>6.5182391304347803E-2</v>
      </c>
      <c r="HB31" s="41">
        <f>87.3886538461538/(1000)</f>
        <v>8.7388653846153797E-2</v>
      </c>
      <c r="HC31" s="41">
        <f>96.1014583333334/(1000)</f>
        <v>9.6101458333333403E-2</v>
      </c>
      <c r="HD31" s="41">
        <f>140.752745098039/(1000)</f>
        <v>0.14075274509803898</v>
      </c>
      <c r="HE31" s="41">
        <f>154.141914893617/(1000)</f>
        <v>0.154141914893617</v>
      </c>
      <c r="HF31" s="41">
        <f>99.9331481481481/(1000)</f>
        <v>9.9933148148148104E-2</v>
      </c>
      <c r="HG31" s="41">
        <f>61.1366666666667/(1000)</f>
        <v>6.11366666666667E-2</v>
      </c>
      <c r="HH31" s="41">
        <f>55.5921568627451/(1000)</f>
        <v>5.5592156862745101E-2</v>
      </c>
      <c r="HI31" s="41">
        <f>48.1745098039216/(1000)</f>
        <v>4.81745098039216E-2</v>
      </c>
      <c r="HJ31" s="41">
        <f t="shared" si="44"/>
        <v>0.17800158461828436</v>
      </c>
      <c r="HK31" s="41">
        <f t="shared" si="45"/>
        <v>0.12970467957815618</v>
      </c>
      <c r="HL31" s="41">
        <f t="shared" si="46"/>
        <v>0.14580364792486555</v>
      </c>
      <c r="HN31" s="45">
        <v>16</v>
      </c>
      <c r="HO31" s="41">
        <f t="shared" si="13"/>
        <v>64</v>
      </c>
      <c r="HP31" s="55">
        <f t="shared" si="14"/>
        <v>7.3499999999999998E-4</v>
      </c>
      <c r="HQ31" s="55">
        <f t="shared" si="15"/>
        <v>7.2500000000000004E-3</v>
      </c>
      <c r="HR31" s="41">
        <f>24.2833333333333/(1000)</f>
        <v>2.4283333333333299E-2</v>
      </c>
      <c r="HS31" s="41">
        <f>26.553375/(1000)</f>
        <v>2.6553375000000001E-2</v>
      </c>
      <c r="HT31" s="41">
        <f>34.0301086956522/(1000)</f>
        <v>3.4030108695652206E-2</v>
      </c>
      <c r="HU31" s="41">
        <f>89.9860714285714/(1000)</f>
        <v>8.9986071428571401E-2</v>
      </c>
      <c r="HV31" s="41">
        <f>817.104886363636/(1000)</f>
        <v>0.81710488636363598</v>
      </c>
      <c r="HW31" s="41">
        <f>133.3525/(1000)</f>
        <v>0.13335249999999998</v>
      </c>
      <c r="HX31" s="41">
        <f>475.057380952381/(1000)</f>
        <v>0.47505738095238098</v>
      </c>
      <c r="HY31" s="41">
        <f>137.86/(1000)</f>
        <v>0.13786000000000001</v>
      </c>
      <c r="HZ31" s="41">
        <f>88.1756818181818/(1000)</f>
        <v>8.8175681818181806E-2</v>
      </c>
      <c r="IA31" s="41">
        <f>63.2213095238095/(1000)</f>
        <v>6.3221309523809499E-2</v>
      </c>
      <c r="IB31" s="41">
        <f>50.7198913043478/(1000)</f>
        <v>5.07198913043478E-2</v>
      </c>
      <c r="IC31" s="41">
        <f>35.1513043478261/(1000)</f>
        <v>3.5151304347826096E-2</v>
      </c>
      <c r="ID31" s="41">
        <f t="shared" si="16"/>
        <v>0.26874923836580089</v>
      </c>
      <c r="IE31" s="41">
        <f t="shared" si="17"/>
        <v>0.18627410624955881</v>
      </c>
      <c r="IF31" s="41">
        <f t="shared" si="18"/>
        <v>0.21376581695497282</v>
      </c>
      <c r="IH31" s="45">
        <v>16</v>
      </c>
      <c r="II31" s="41">
        <f t="shared" si="19"/>
        <v>64</v>
      </c>
      <c r="IJ31" s="55">
        <f t="shared" si="20"/>
        <v>6.3699999999999998E-4</v>
      </c>
      <c r="IK31" s="55">
        <f t="shared" si="21"/>
        <v>7.2500000000000004E-3</v>
      </c>
      <c r="IL31" s="41">
        <f>24.4144047619048/(1000)</f>
        <v>2.44144047619048E-2</v>
      </c>
      <c r="IM31" s="41">
        <f>24.895/(1000)</f>
        <v>2.4895E-2</v>
      </c>
      <c r="IN31" s="41">
        <f>27.3191304347826/(1000)</f>
        <v>2.7319130434782599E-2</v>
      </c>
      <c r="IO31" s="41">
        <f>53.3022619047619/(1000)</f>
        <v>5.3302261904761901E-2</v>
      </c>
      <c r="IP31" s="41">
        <f>316.051590909091/(1000)</f>
        <v>0.31605159090909096</v>
      </c>
      <c r="IQ31" s="41">
        <f>90.8514772727273/(1000)</f>
        <v>9.0851477272727299E-2</v>
      </c>
      <c r="IR31" s="41">
        <f>506.607142857143/(1000)</f>
        <v>0.50660714285714303</v>
      </c>
      <c r="IS31" s="41">
        <f>141.797065217391/(1000)</f>
        <v>0.14179706521739102</v>
      </c>
      <c r="IT31" s="41">
        <f>83.6703409090909/(1000)</f>
        <v>8.3670340909090896E-2</v>
      </c>
      <c r="IU31" s="41">
        <f>59.865119047619/(1000)</f>
        <v>5.9865119047618993E-2</v>
      </c>
      <c r="IV31" s="41">
        <f>46.7196739130435/(1000)</f>
        <v>4.6719673913043498E-2</v>
      </c>
      <c r="IW31" s="41">
        <f>33.9722826086957/(1000)</f>
        <v>3.3972282608695697E-2</v>
      </c>
      <c r="IX31" s="41">
        <f t="shared" si="49"/>
        <v>0.26505138320511007</v>
      </c>
      <c r="IY31" s="41">
        <f t="shared" si="23"/>
        <v>9.9533791184359149E-2</v>
      </c>
      <c r="IZ31" s="41">
        <f t="shared" ref="IZ31:IZ37" si="63">SUM(IJ31:IK31)+AVERAGE(IL31:IW31)*125%</f>
        <v>0.15470632185794278</v>
      </c>
      <c r="JB31" s="45">
        <v>16</v>
      </c>
      <c r="JC31" s="41">
        <f t="shared" si="25"/>
        <v>64</v>
      </c>
      <c r="JD31" s="55">
        <v>4.1340000000000002E-2</v>
      </c>
      <c r="JE31" s="55">
        <f t="shared" si="26"/>
        <v>7.2500000000000004E-3</v>
      </c>
      <c r="JF31" s="41">
        <f>24.8510714285714/(1000)</f>
        <v>2.4851071428571403E-2</v>
      </c>
      <c r="JG31" s="41">
        <f>21.142625/(1000)</f>
        <v>2.1142624999999998E-2</v>
      </c>
      <c r="JH31" s="41">
        <f>27.5551086956522/(1000)</f>
        <v>2.7555108695652201E-2</v>
      </c>
      <c r="JI31" s="41">
        <f>120.457261904762/(1000)</f>
        <v>0.12045726190476201</v>
      </c>
      <c r="JJ31" s="41">
        <f>406.914431818182/(1000)</f>
        <v>0.40691443181818199</v>
      </c>
      <c r="JK31" s="41">
        <f>85.7861363636364/(1000)</f>
        <v>8.5786136363636398E-2</v>
      </c>
      <c r="JL31" s="41">
        <f>483.204880952381/(1000)</f>
        <v>0.48320488095238101</v>
      </c>
      <c r="JM31" s="41">
        <f>139.614782608696/(1000)</f>
        <v>0.139614782608696</v>
      </c>
      <c r="JN31" s="41">
        <f>80.7982954545454/(1000)</f>
        <v>8.0798295454545394E-2</v>
      </c>
      <c r="JO31" s="41">
        <f>65.9742857142857/(1000)</f>
        <v>6.5974285714285694E-2</v>
      </c>
      <c r="JP31" s="41">
        <f>46.785652173913/(1000)</f>
        <v>4.6785652173912999E-2</v>
      </c>
      <c r="JQ31" s="41">
        <f>32.4596739130435/(1000)</f>
        <v>3.2459673913043503E-2</v>
      </c>
      <c r="JR31" s="41">
        <f t="shared" si="56"/>
        <v>0.29527877980601841</v>
      </c>
      <c r="JS31" s="41">
        <f t="shared" si="57"/>
        <v>0.165174392288814</v>
      </c>
      <c r="JT31" s="41">
        <f t="shared" ref="JT31:JT37" si="64">SUM(JD31:JE31)+AVERAGE(JF31:JQ31)*125%</f>
        <v>0.20854252146121549</v>
      </c>
      <c r="JV31" s="41">
        <v>16</v>
      </c>
      <c r="JW31" s="41">
        <f t="shared" si="30"/>
        <v>64</v>
      </c>
      <c r="JX31" s="55">
        <f t="shared" si="31"/>
        <v>3.5310000000000001E-2</v>
      </c>
      <c r="JY31" s="55">
        <f t="shared" si="32"/>
        <v>7.2500000000000004E-3</v>
      </c>
      <c r="JZ31" s="41">
        <f>24.8510714285714/(1000)</f>
        <v>2.4851071428571403E-2</v>
      </c>
      <c r="KA31" s="41">
        <f>21.142625/(1000)</f>
        <v>2.1142624999999998E-2</v>
      </c>
      <c r="KB31" s="41">
        <f>27.5551086956522/(1000)</f>
        <v>2.7555108695652201E-2</v>
      </c>
      <c r="KC31" s="41">
        <f>120.457261904762/(1000)</f>
        <v>0.12045726190476201</v>
      </c>
      <c r="KD31" s="41">
        <f>406.914431818182/(1000)</f>
        <v>0.40691443181818199</v>
      </c>
      <c r="KE31" s="41">
        <f>85.7861363636364/(1000)</f>
        <v>8.5786136363636398E-2</v>
      </c>
      <c r="KF31" s="41">
        <f>483.204880952381/(1000)</f>
        <v>0.48320488095238101</v>
      </c>
      <c r="KG31" s="41">
        <f>139.614782608696/(1000)</f>
        <v>0.139614782608696</v>
      </c>
      <c r="KH31" s="41">
        <f>80.7982954545454/(1000)</f>
        <v>8.0798295454545394E-2</v>
      </c>
      <c r="KI31" s="41">
        <f>65.9742857142857/(1000)</f>
        <v>6.5974285714285694E-2</v>
      </c>
      <c r="KJ31" s="41">
        <f>46.785652173913/(1000)</f>
        <v>4.6785652173912999E-2</v>
      </c>
      <c r="KK31" s="41">
        <f>32.4596739130435/(1000)</f>
        <v>3.2459673913043503E-2</v>
      </c>
      <c r="KL31" s="41">
        <f t="shared" si="59"/>
        <v>0.28924877980601837</v>
      </c>
      <c r="KM31" s="41">
        <f t="shared" si="60"/>
        <v>0.159144392288814</v>
      </c>
      <c r="KN31" s="41">
        <f t="shared" ref="KN31:KN37" si="65">SUM(JX31:JY31)+AVERAGE(JZ31:KK31)*125%</f>
        <v>0.20251252146121551</v>
      </c>
    </row>
    <row r="32" spans="1:305">
      <c r="E32" s="39" t="s">
        <v>48</v>
      </c>
      <c r="F32" s="39" t="s">
        <v>49</v>
      </c>
      <c r="G32" s="39" t="s">
        <v>78</v>
      </c>
      <c r="I32" s="41">
        <v>17</v>
      </c>
      <c r="J32" s="41">
        <f t="shared" si="1"/>
        <v>68</v>
      </c>
      <c r="K32" s="41">
        <f t="shared" ref="K32:L34" si="66">0.08218</f>
        <v>8.2180000000000003E-2</v>
      </c>
      <c r="L32" s="41">
        <f t="shared" si="66"/>
        <v>8.2180000000000003E-2</v>
      </c>
      <c r="M32" s="41">
        <v>0.14063999999999999</v>
      </c>
      <c r="N32" s="41">
        <v>9.6990000000000007E-2</v>
      </c>
      <c r="O32" s="41">
        <v>8.4629999999999997E-2</v>
      </c>
      <c r="P32" s="41">
        <v>0.12994</v>
      </c>
      <c r="Q32" s="41">
        <v>0.10224999999999999</v>
      </c>
      <c r="R32" s="41">
        <v>0.53717999999999999</v>
      </c>
      <c r="S32" s="41">
        <v>9.5390000000000003E-2</v>
      </c>
      <c r="U32" s="39" t="s">
        <v>48</v>
      </c>
      <c r="V32" s="39" t="s">
        <v>49</v>
      </c>
      <c r="W32" s="39" t="s">
        <v>78</v>
      </c>
      <c r="Z32" s="39" t="s">
        <v>48</v>
      </c>
      <c r="AA32" s="39" t="s">
        <v>49</v>
      </c>
      <c r="AB32" s="39" t="s">
        <v>78</v>
      </c>
      <c r="AD32" s="41">
        <v>17</v>
      </c>
      <c r="AE32" s="41">
        <f t="shared" si="2"/>
        <v>68</v>
      </c>
      <c r="AF32" s="41">
        <f t="shared" si="6"/>
        <v>4.6050000000000001E-2</v>
      </c>
      <c r="AG32" s="41">
        <f t="shared" si="6"/>
        <v>4.6050000000000001E-2</v>
      </c>
      <c r="AH32" s="41">
        <v>0.13328999999999999</v>
      </c>
      <c r="AI32" s="41">
        <v>9.1929999999999998E-2</v>
      </c>
      <c r="AJ32" s="41">
        <v>8.0199999999999994E-2</v>
      </c>
      <c r="AK32" s="41">
        <v>0.12315</v>
      </c>
      <c r="AL32" s="41">
        <v>9.6909999999999996E-2</v>
      </c>
      <c r="AM32" s="41">
        <v>0.5091</v>
      </c>
      <c r="AN32" s="41">
        <v>9.0399999999999994E-2</v>
      </c>
      <c r="AP32" s="39" t="s">
        <v>48</v>
      </c>
      <c r="AQ32" s="39" t="s">
        <v>49</v>
      </c>
      <c r="AR32" s="39" t="s">
        <v>78</v>
      </c>
      <c r="AU32" s="39" t="s">
        <v>48</v>
      </c>
      <c r="AV32" s="39" t="s">
        <v>49</v>
      </c>
      <c r="AW32" s="39" t="s">
        <v>78</v>
      </c>
      <c r="AY32" s="41">
        <v>17</v>
      </c>
      <c r="AZ32" s="41">
        <f t="shared" si="3"/>
        <v>68</v>
      </c>
      <c r="BA32" s="41">
        <v>4.2770000000000002E-2</v>
      </c>
      <c r="BB32" s="41">
        <v>4.2770000000000002E-2</v>
      </c>
      <c r="BC32" s="41">
        <v>0.12436</v>
      </c>
      <c r="BD32" s="41">
        <v>8.5769999999999999E-2</v>
      </c>
      <c r="BE32" s="41">
        <v>7.4829999999999994E-2</v>
      </c>
      <c r="BF32" s="41">
        <v>0.1149</v>
      </c>
      <c r="BG32" s="41">
        <v>9.042E-2</v>
      </c>
      <c r="BH32" s="41">
        <v>0.47499000000000002</v>
      </c>
      <c r="BI32" s="41">
        <v>8.4349999999999994E-2</v>
      </c>
      <c r="BK32" s="39" t="s">
        <v>48</v>
      </c>
      <c r="BL32" s="39" t="s">
        <v>49</v>
      </c>
      <c r="BM32" s="39" t="s">
        <v>78</v>
      </c>
      <c r="BP32" s="39"/>
      <c r="BQ32" s="39"/>
      <c r="BR32" s="39"/>
      <c r="BT32" s="41">
        <v>17</v>
      </c>
      <c r="BU32" s="41">
        <f t="shared" si="4"/>
        <v>68</v>
      </c>
      <c r="BV32" s="41">
        <v>4.0250000000000001E-2</v>
      </c>
      <c r="BW32" s="41">
        <v>4.0250000000000001E-2</v>
      </c>
      <c r="BX32" s="41">
        <v>0.11534999999999999</v>
      </c>
      <c r="BY32" s="41">
        <v>7.9549999999999996E-2</v>
      </c>
      <c r="BZ32" s="41">
        <v>6.9409999999999999E-2</v>
      </c>
      <c r="CA32" s="41">
        <v>0.10657</v>
      </c>
      <c r="CB32" s="41">
        <v>8.3860000000000004E-2</v>
      </c>
      <c r="CC32" s="41">
        <v>0.44057000000000002</v>
      </c>
      <c r="CD32" s="41">
        <v>7.8229999999999994E-2</v>
      </c>
      <c r="CE32" s="41">
        <f t="shared" si="7"/>
        <v>0.12411</v>
      </c>
      <c r="DG32" s="41">
        <v>16</v>
      </c>
      <c r="DH32" s="41">
        <f t="shared" si="62"/>
        <v>64</v>
      </c>
      <c r="DI32" s="41">
        <v>0.35088999999999998</v>
      </c>
      <c r="DP32" s="41" t="s">
        <v>124</v>
      </c>
      <c r="DQ32" s="41" t="s">
        <v>129</v>
      </c>
      <c r="DR32" s="41">
        <v>17.47</v>
      </c>
      <c r="DS32" s="41">
        <f>DR32/mo</f>
        <v>0.5727868852459016</v>
      </c>
      <c r="DU32" s="41" t="s">
        <v>124</v>
      </c>
      <c r="DV32" s="41" t="s">
        <v>133</v>
      </c>
      <c r="DW32" s="41">
        <f>26.07+2.22</f>
        <v>28.29</v>
      </c>
      <c r="DX32" s="41">
        <f>DW32/mo</f>
        <v>0.92754098360655735</v>
      </c>
      <c r="DZ32" s="41" t="s">
        <v>124</v>
      </c>
      <c r="EA32" s="41" t="s">
        <v>138</v>
      </c>
      <c r="EB32" s="41">
        <f>11.06+3.04</f>
        <v>14.100000000000001</v>
      </c>
      <c r="EC32" s="41">
        <f>EB32/mo+0.54</f>
        <v>1.0022950819672132</v>
      </c>
      <c r="EE32" s="41" t="s">
        <v>124</v>
      </c>
      <c r="EF32" s="41" t="s">
        <v>133</v>
      </c>
      <c r="EG32" s="41">
        <f>28.04+2.24</f>
        <v>30.28</v>
      </c>
      <c r="EH32" s="41">
        <f>EG32/mo</f>
        <v>0.99278688524590164</v>
      </c>
      <c r="EJ32" s="41" t="s">
        <v>124</v>
      </c>
      <c r="EK32" s="41" t="s">
        <v>138</v>
      </c>
      <c r="EL32" s="41">
        <f>12.88+3.08</f>
        <v>15.96</v>
      </c>
      <c r="EM32" s="41">
        <f>EL32/mo+0.56</f>
        <v>1.0832786885245902</v>
      </c>
      <c r="EN32" s="45">
        <v>21</v>
      </c>
      <c r="EO32" s="41">
        <f>EN32/$B$1</f>
        <v>84</v>
      </c>
      <c r="EP32" s="41">
        <v>0.11448999999999999</v>
      </c>
      <c r="ES32" s="41">
        <v>21</v>
      </c>
      <c r="ET32" s="41">
        <f>ES32/$B$1</f>
        <v>84</v>
      </c>
      <c r="EU32" s="41">
        <v>0.12801000000000001</v>
      </c>
      <c r="EX32" s="41">
        <v>21</v>
      </c>
      <c r="EY32" s="41">
        <f>EX32/$B$1</f>
        <v>84</v>
      </c>
      <c r="EZ32" s="41">
        <v>0.11693000000000001</v>
      </c>
      <c r="FA32" s="41">
        <f>18.63/mo</f>
        <v>0.61081967213114752</v>
      </c>
      <c r="FC32" s="41">
        <v>21</v>
      </c>
      <c r="FD32" s="41">
        <f>FC32/$B$1</f>
        <v>84</v>
      </c>
      <c r="FE32" s="41">
        <f>0.12729+0.0764</f>
        <v>0.20368999999999998</v>
      </c>
      <c r="FN32" s="41">
        <v>16</v>
      </c>
      <c r="FO32" s="41">
        <f t="shared" si="36"/>
        <v>64</v>
      </c>
      <c r="FP32" s="41">
        <f t="shared" si="37"/>
        <v>1.4300000000000003E-3</v>
      </c>
      <c r="FQ32" s="41">
        <v>1.149E-2</v>
      </c>
      <c r="FR32" s="41">
        <f>67.2648458571429/(1000)</f>
        <v>6.7264845857142902E-2</v>
      </c>
      <c r="FS32" s="41">
        <f>42.66508955/(1000)</f>
        <v>4.266508955E-2</v>
      </c>
      <c r="FT32" s="41">
        <f>35.4933169565217/(1000)</f>
        <v>3.5493316956521706E-2</v>
      </c>
      <c r="FU32" s="41">
        <f>53.569466/(1000)</f>
        <v>5.3569465999999996E-2</v>
      </c>
      <c r="FV32" s="41">
        <f>70.0006292272727/(1000)</f>
        <v>7.0000629227272695E-2</v>
      </c>
      <c r="FW32" s="41">
        <f>85.6897256818182/(1000)</f>
        <v>8.5689725681818207E-2</v>
      </c>
      <c r="FX32" s="41">
        <f>140.296104714286/(1000)</f>
        <v>0.140296104714286</v>
      </c>
      <c r="FY32" s="41">
        <f>170.222429347826/(1000)</f>
        <v>0.170222429347826</v>
      </c>
      <c r="FZ32" s="41">
        <f>78.9759024545454/(1000)</f>
        <v>7.8975902454545402E-2</v>
      </c>
      <c r="GA32" s="41">
        <f>43.5059234761905/(1000)</f>
        <v>4.3505923476190506E-2</v>
      </c>
      <c r="GB32" s="41">
        <f>45.609204/(1000)</f>
        <v>4.5609204E-2</v>
      </c>
      <c r="GC32" s="41">
        <f>36.2379439565217/(1000)</f>
        <v>3.6237943956521697E-2</v>
      </c>
      <c r="GD32" s="41">
        <f t="shared" si="38"/>
        <v>0.13171604054961888</v>
      </c>
      <c r="GE32" s="41">
        <f t="shared" si="39"/>
        <v>6.2213302377956192E-2</v>
      </c>
      <c r="GF32" s="41">
        <f t="shared" si="40"/>
        <v>8.5380881768510428E-2</v>
      </c>
      <c r="GT32" s="41">
        <v>16</v>
      </c>
      <c r="GU32" s="41">
        <f t="shared" si="41"/>
        <v>64</v>
      </c>
      <c r="GV32" s="55">
        <f t="shared" si="42"/>
        <v>4.2889999999999998E-2</v>
      </c>
      <c r="GW32" s="55">
        <f t="shared" si="43"/>
        <v>1.2379268000000001E-2</v>
      </c>
      <c r="GX32" s="41">
        <f>164.849111111111/(1000)</f>
        <v>0.164849111111111</v>
      </c>
      <c r="GY32" s="41">
        <f>96.9495454545454/(1000)</f>
        <v>9.6949545454545399E-2</v>
      </c>
      <c r="GZ32" s="41">
        <f>55.4089090909091/(1000)</f>
        <v>5.5408909090909099E-2</v>
      </c>
      <c r="HA32" s="41">
        <f>68.1895652173912/(1000)</f>
        <v>6.818956521739121E-2</v>
      </c>
      <c r="HB32" s="41">
        <f>98.5169230769231/(1000)</f>
        <v>9.8516923076923113E-2</v>
      </c>
      <c r="HC32" s="41">
        <f>105.809791666667/(1000)</f>
        <v>0.105809791666667</v>
      </c>
      <c r="HD32" s="41">
        <f>153.608823529412/(1000)</f>
        <v>0.15360882352941202</v>
      </c>
      <c r="HE32" s="41">
        <f>165.481489361702/(1000)</f>
        <v>0.16548148936170198</v>
      </c>
      <c r="HF32" s="41">
        <f>105.28537037037/(1000)</f>
        <v>0.10528537037037</v>
      </c>
      <c r="HG32" s="41">
        <f>62.5517777777778/(1000)</f>
        <v>6.2551777777777803E-2</v>
      </c>
      <c r="HH32" s="41">
        <f>66.0521568627451/(1000)</f>
        <v>6.6052156862745098E-2</v>
      </c>
      <c r="HI32" s="41">
        <f>56.9788235294117/(1000)</f>
        <v>5.69788235294117E-2</v>
      </c>
      <c r="HJ32" s="41">
        <f t="shared" si="44"/>
        <v>0.18781563673203772</v>
      </c>
      <c r="HK32" s="41">
        <f t="shared" si="45"/>
        <v>0.13895636951510182</v>
      </c>
      <c r="HL32" s="41">
        <f t="shared" si="46"/>
        <v>0.15524279192074711</v>
      </c>
      <c r="HN32" s="45">
        <v>17</v>
      </c>
      <c r="HO32" s="41">
        <f t="shared" si="13"/>
        <v>68</v>
      </c>
      <c r="HP32" s="55">
        <f t="shared" si="14"/>
        <v>7.3499999999999998E-4</v>
      </c>
      <c r="HQ32" s="55">
        <f t="shared" si="15"/>
        <v>7.2500000000000004E-3</v>
      </c>
      <c r="HR32" s="41">
        <f>41.7236904761905/(1000)</f>
        <v>4.1723690476190498E-2</v>
      </c>
      <c r="HS32" s="41">
        <f>34.794/(1000)</f>
        <v>3.4793999999999999E-2</v>
      </c>
      <c r="HT32" s="41">
        <f>35.1377173913043/(1000)</f>
        <v>3.51377173913043E-2</v>
      </c>
      <c r="HU32" s="41">
        <f>80.1434523809524/(1000)</f>
        <v>8.0143452380952399E-2</v>
      </c>
      <c r="HV32" s="41">
        <f>323.151022727273/(1000)</f>
        <v>0.32315102272727303</v>
      </c>
      <c r="HW32" s="41">
        <f>94.2482954545455/(1000)</f>
        <v>9.4248295454545494E-2</v>
      </c>
      <c r="HX32" s="41">
        <f>464.780357142857/(1000)</f>
        <v>0.46478035714285698</v>
      </c>
      <c r="HY32" s="41">
        <f>116.691739130435/(1000)</f>
        <v>0.116691739130435</v>
      </c>
      <c r="HZ32" s="41">
        <f>82.9388636363636/(1000)</f>
        <v>8.2938863636363602E-2</v>
      </c>
      <c r="IA32" s="41">
        <f>77.6722619047619/(1000)</f>
        <v>7.7672261904761897E-2</v>
      </c>
      <c r="IB32" s="41">
        <f>70.6728260869565/(1000)</f>
        <v>7.0672826086956506E-2</v>
      </c>
      <c r="IC32" s="41">
        <f>79.8013043478261/(1000)</f>
        <v>7.9801304347826105E-2</v>
      </c>
      <c r="ID32" s="41">
        <f t="shared" si="16"/>
        <v>0.24506601730131281</v>
      </c>
      <c r="IE32" s="41">
        <f t="shared" si="17"/>
        <v>0.12409379301801009</v>
      </c>
      <c r="IF32" s="41">
        <f t="shared" si="18"/>
        <v>0.16441786777911099</v>
      </c>
      <c r="IH32" s="45">
        <v>17</v>
      </c>
      <c r="II32" s="41">
        <f t="shared" si="19"/>
        <v>68</v>
      </c>
      <c r="IJ32" s="55">
        <f t="shared" si="20"/>
        <v>6.3699999999999998E-4</v>
      </c>
      <c r="IK32" s="55">
        <f t="shared" si="21"/>
        <v>7.2500000000000004E-3</v>
      </c>
      <c r="IL32" s="41">
        <f>41.5277380952381/(1000)</f>
        <v>4.1527738095238097E-2</v>
      </c>
      <c r="IM32" s="41">
        <f>33.394125/(1000)</f>
        <v>3.3394125000000004E-2</v>
      </c>
      <c r="IN32" s="41">
        <f>29.8122826086957/(1000)</f>
        <v>2.98122826086957E-2</v>
      </c>
      <c r="IO32" s="41">
        <f>48.9391666666667/(1000)</f>
        <v>4.89391666666667E-2</v>
      </c>
      <c r="IP32" s="41">
        <f>192.194772727273/(1000)</f>
        <v>0.19219477272727301</v>
      </c>
      <c r="IQ32" s="41">
        <f>85.88625/(1000)</f>
        <v>8.5886249999999997E-2</v>
      </c>
      <c r="IR32" s="41">
        <f>509.106547619048/(1000)</f>
        <v>0.50910654761904806</v>
      </c>
      <c r="IS32" s="41">
        <f>122.337608695652/(1000)</f>
        <v>0.12233760869565199</v>
      </c>
      <c r="IT32" s="41">
        <f>82.1328409090909/(1000)</f>
        <v>8.2132840909090898E-2</v>
      </c>
      <c r="IU32" s="41">
        <f>70.9239285714286/(1000)</f>
        <v>7.092392857142861E-2</v>
      </c>
      <c r="IV32" s="41">
        <f>69.0977173913043/(1000)</f>
        <v>6.9097717391304297E-2</v>
      </c>
      <c r="IW32" s="41">
        <f>79.8608695652174/(1000)</f>
        <v>7.9860869565217402E-2</v>
      </c>
      <c r="IX32" s="41">
        <f t="shared" si="49"/>
        <v>0.25771926475743467</v>
      </c>
      <c r="IY32" s="41">
        <f t="shared" si="23"/>
        <v>9.6285531347784975E-2</v>
      </c>
      <c r="IZ32" s="41">
        <f t="shared" si="63"/>
        <v>0.15009677581766823</v>
      </c>
      <c r="JB32" s="45">
        <v>17</v>
      </c>
      <c r="JC32" s="41">
        <f t="shared" si="25"/>
        <v>68</v>
      </c>
      <c r="JD32" s="55">
        <v>4.1340000000000002E-2</v>
      </c>
      <c r="JE32" s="55">
        <f t="shared" si="26"/>
        <v>7.2500000000000004E-3</v>
      </c>
      <c r="JF32" s="41">
        <f>40.7667857142857/(1000)</f>
        <v>4.07667857142857E-2</v>
      </c>
      <c r="JG32" s="41">
        <f>29.72825/(1000)</f>
        <v>2.9728249999999998E-2</v>
      </c>
      <c r="JH32" s="41">
        <f>28.7739130434783/(1000)</f>
        <v>2.8773913043478299E-2</v>
      </c>
      <c r="JI32" s="41">
        <f>121.742023809524/(1000)</f>
        <v>0.12174202380952399</v>
      </c>
      <c r="JJ32" s="41">
        <f>229.513181818182/(1000)</f>
        <v>0.229513181818182</v>
      </c>
      <c r="JK32" s="41">
        <f>83.2443181818182/(1000)</f>
        <v>8.3244318181818197E-2</v>
      </c>
      <c r="JL32" s="41">
        <f>490.085833333333/(1000)</f>
        <v>0.49008583333333305</v>
      </c>
      <c r="JM32" s="41">
        <f>123.556630434783/(1000)</f>
        <v>0.123556630434783</v>
      </c>
      <c r="JN32" s="41">
        <f>79.5906818181818/(1000)</f>
        <v>7.959068181818181E-2</v>
      </c>
      <c r="JO32" s="41">
        <f>72.0520238095238/(1000)</f>
        <v>7.2052023809523802E-2</v>
      </c>
      <c r="JP32" s="41">
        <f>67.2334782608696/(1000)</f>
        <v>6.7233478260869603E-2</v>
      </c>
      <c r="JQ32" s="41">
        <f>77.4771739130435/(1000)</f>
        <v>7.7477173913043498E-2</v>
      </c>
      <c r="JR32" s="41">
        <f t="shared" si="56"/>
        <v>0.29123920742753628</v>
      </c>
      <c r="JS32" s="41">
        <f t="shared" si="57"/>
        <v>0.15285356724514171</v>
      </c>
      <c r="JT32" s="41">
        <f t="shared" si="64"/>
        <v>0.19898211397260659</v>
      </c>
      <c r="JV32" s="41">
        <v>17</v>
      </c>
      <c r="JW32" s="41">
        <f t="shared" si="30"/>
        <v>68</v>
      </c>
      <c r="JX32" s="55">
        <f t="shared" si="31"/>
        <v>3.5310000000000001E-2</v>
      </c>
      <c r="JY32" s="55">
        <f t="shared" si="32"/>
        <v>7.2500000000000004E-3</v>
      </c>
      <c r="JZ32" s="41">
        <f>40.7667857142857/(1000)</f>
        <v>4.07667857142857E-2</v>
      </c>
      <c r="KA32" s="41">
        <f>29.72825/(1000)</f>
        <v>2.9728249999999998E-2</v>
      </c>
      <c r="KB32" s="41">
        <f>28.7739130434783/(1000)</f>
        <v>2.8773913043478299E-2</v>
      </c>
      <c r="KC32" s="41">
        <f>121.742023809524/(1000)</f>
        <v>0.12174202380952399</v>
      </c>
      <c r="KD32" s="41">
        <f>229.513181818182/(1000)</f>
        <v>0.229513181818182</v>
      </c>
      <c r="KE32" s="41">
        <f>83.2443181818182/(1000)</f>
        <v>8.3244318181818197E-2</v>
      </c>
      <c r="KF32" s="41">
        <f>490.085833333333/(1000)</f>
        <v>0.49008583333333305</v>
      </c>
      <c r="KG32" s="41">
        <f>123.556630434783/(1000)</f>
        <v>0.123556630434783</v>
      </c>
      <c r="KH32" s="41">
        <f>79.5906818181818/(1000)</f>
        <v>7.959068181818181E-2</v>
      </c>
      <c r="KI32" s="41">
        <f>72.0520238095238/(1000)</f>
        <v>7.2052023809523802E-2</v>
      </c>
      <c r="KJ32" s="41">
        <f>67.2334782608696/(1000)</f>
        <v>6.7233478260869603E-2</v>
      </c>
      <c r="KK32" s="41">
        <f>77.4771739130435/(1000)</f>
        <v>7.7477173913043498E-2</v>
      </c>
      <c r="KL32" s="41">
        <f t="shared" si="59"/>
        <v>0.2852092074275363</v>
      </c>
      <c r="KM32" s="41">
        <f t="shared" si="60"/>
        <v>0.1468235672451417</v>
      </c>
      <c r="KN32" s="41">
        <f t="shared" si="65"/>
        <v>0.19295211397260659</v>
      </c>
    </row>
    <row r="33" spans="5:300">
      <c r="E33" s="41">
        <v>0</v>
      </c>
      <c r="F33" s="41">
        <v>0</v>
      </c>
      <c r="G33" s="41">
        <f>0.04699+0.076</f>
        <v>0.12298999999999999</v>
      </c>
      <c r="I33" s="41">
        <v>18</v>
      </c>
      <c r="J33" s="41">
        <f t="shared" si="1"/>
        <v>72</v>
      </c>
      <c r="K33" s="41">
        <f t="shared" si="66"/>
        <v>8.2180000000000003E-2</v>
      </c>
      <c r="L33" s="41">
        <f t="shared" si="66"/>
        <v>8.2180000000000003E-2</v>
      </c>
      <c r="M33" s="41">
        <v>5.18025</v>
      </c>
      <c r="N33" s="41">
        <v>0.15939</v>
      </c>
      <c r="O33" s="41">
        <v>9.7239999999999993E-2</v>
      </c>
      <c r="P33" s="41">
        <v>0.13285</v>
      </c>
      <c r="Q33" s="41">
        <v>0.11294999999999999</v>
      </c>
      <c r="R33" s="41">
        <v>0.97987000000000002</v>
      </c>
      <c r="S33" s="41">
        <v>0.10327</v>
      </c>
      <c r="U33" s="41">
        <v>0</v>
      </c>
      <c r="V33" s="41">
        <v>0</v>
      </c>
      <c r="W33" s="41">
        <f>0.05245+0.07196</f>
        <v>0.12440999999999999</v>
      </c>
      <c r="Z33" s="41">
        <v>0</v>
      </c>
      <c r="AA33" s="41">
        <v>0</v>
      </c>
      <c r="AB33" s="41">
        <f>0.04605+0.07196</f>
        <v>0.11801</v>
      </c>
      <c r="AD33" s="41">
        <v>18</v>
      </c>
      <c r="AE33" s="41">
        <f t="shared" si="2"/>
        <v>72</v>
      </c>
      <c r="AF33" s="41">
        <f t="shared" si="6"/>
        <v>4.6050000000000001E-2</v>
      </c>
      <c r="AG33" s="41">
        <f t="shared" si="6"/>
        <v>4.6050000000000001E-2</v>
      </c>
      <c r="AH33" s="41">
        <v>4.9095000000000004</v>
      </c>
      <c r="AI33" s="41">
        <v>0.15106</v>
      </c>
      <c r="AJ33" s="41">
        <v>9.2149999999999996E-2</v>
      </c>
      <c r="AK33" s="41">
        <v>0.12590000000000001</v>
      </c>
      <c r="AL33" s="41">
        <v>0.10705000000000001</v>
      </c>
      <c r="AM33" s="41">
        <v>0.92866000000000004</v>
      </c>
      <c r="AN33" s="41">
        <v>9.7869999999999999E-2</v>
      </c>
      <c r="AP33" s="41">
        <v>0</v>
      </c>
      <c r="AQ33" s="41">
        <v>0</v>
      </c>
      <c r="AR33" s="41">
        <f>0.04805+0.06747</f>
        <v>0.11552000000000001</v>
      </c>
      <c r="AU33" s="41">
        <v>0</v>
      </c>
      <c r="AV33" s="41">
        <v>0</v>
      </c>
      <c r="AW33" s="41">
        <f>0.04277</f>
        <v>4.2770000000000002E-2</v>
      </c>
      <c r="AY33" s="41">
        <v>18</v>
      </c>
      <c r="AZ33" s="41">
        <f t="shared" si="3"/>
        <v>72</v>
      </c>
      <c r="BA33" s="41">
        <v>4.2770000000000002E-2</v>
      </c>
      <c r="BB33" s="41">
        <v>4.2770000000000002E-2</v>
      </c>
      <c r="BC33" s="41">
        <v>4.5805600000000002</v>
      </c>
      <c r="BD33" s="41">
        <v>0.14094000000000001</v>
      </c>
      <c r="BE33" s="41">
        <v>8.5980000000000001E-2</v>
      </c>
      <c r="BF33" s="41">
        <v>0.11747</v>
      </c>
      <c r="BG33" s="41">
        <v>9.9879999999999997E-2</v>
      </c>
      <c r="BH33" s="41">
        <v>0.86643999999999999</v>
      </c>
      <c r="BI33" s="41">
        <v>9.1310000000000002E-2</v>
      </c>
      <c r="BK33" s="41">
        <v>0</v>
      </c>
      <c r="BL33" s="41">
        <v>0</v>
      </c>
      <c r="BM33" s="41">
        <f>0.04025+0.06083</f>
        <v>0.10108</v>
      </c>
      <c r="BT33" s="41">
        <v>18</v>
      </c>
      <c r="BU33" s="41">
        <f t="shared" si="4"/>
        <v>72</v>
      </c>
      <c r="BV33" s="41">
        <v>4.0250000000000001E-2</v>
      </c>
      <c r="BW33" s="41">
        <v>4.0250000000000001E-2</v>
      </c>
      <c r="BX33" s="41">
        <v>4.2485799999999996</v>
      </c>
      <c r="BY33" s="41">
        <v>0.13072</v>
      </c>
      <c r="BZ33" s="41">
        <v>7.9750000000000001E-2</v>
      </c>
      <c r="CA33" s="41">
        <v>0.10896</v>
      </c>
      <c r="CB33" s="41">
        <v>9.264E-2</v>
      </c>
      <c r="CC33" s="41">
        <v>0.80364000000000002</v>
      </c>
      <c r="CD33" s="41">
        <v>8.4690000000000001E-2</v>
      </c>
      <c r="CE33" s="41">
        <f t="shared" si="7"/>
        <v>0.13289000000000001</v>
      </c>
      <c r="DG33" s="41">
        <v>21</v>
      </c>
      <c r="DH33" s="41">
        <f t="shared" si="62"/>
        <v>84</v>
      </c>
      <c r="DI33" s="41">
        <v>0.32139000000000001</v>
      </c>
      <c r="EN33" s="45" t="s">
        <v>145</v>
      </c>
      <c r="EO33" s="41" t="s">
        <v>146</v>
      </c>
      <c r="EP33" s="41">
        <f>30.68/10</f>
        <v>3.0680000000000001</v>
      </c>
      <c r="EQ33" s="41">
        <f>EP33/mo</f>
        <v>0.10059016393442623</v>
      </c>
      <c r="ES33" s="41" t="s">
        <v>145</v>
      </c>
      <c r="ET33" s="41" t="s">
        <v>155</v>
      </c>
      <c r="EU33" s="41">
        <f>31.32+28.74</f>
        <v>60.06</v>
      </c>
      <c r="EV33" s="41">
        <f>EU33/mo</f>
        <v>1.9691803278688524</v>
      </c>
      <c r="EX33" s="41" t="s">
        <v>145</v>
      </c>
      <c r="EY33" s="41" t="s">
        <v>157</v>
      </c>
      <c r="EZ33" s="41">
        <f>18.63+1.12+34.2</f>
        <v>53.95</v>
      </c>
      <c r="FA33" s="41">
        <f>EZ33/mo</f>
        <v>1.7688524590163934</v>
      </c>
      <c r="FC33" s="41" t="s">
        <v>152</v>
      </c>
      <c r="FD33" s="41" t="s">
        <v>153</v>
      </c>
      <c r="FE33" s="41">
        <v>4.57</v>
      </c>
      <c r="FF33" s="41">
        <f>FE33/mo</f>
        <v>0.14983606557377049</v>
      </c>
      <c r="FN33" s="41">
        <v>17</v>
      </c>
      <c r="FO33" s="41">
        <f t="shared" si="36"/>
        <v>68</v>
      </c>
      <c r="FP33" s="41">
        <f t="shared" si="37"/>
        <v>1.4300000000000003E-3</v>
      </c>
      <c r="FQ33" s="41">
        <v>1.149E-2</v>
      </c>
      <c r="FR33" s="41">
        <f>93.9375631904762/(1000)</f>
        <v>9.3937563190476192E-2</v>
      </c>
      <c r="FS33" s="41">
        <f>50.14275795/(1000)</f>
        <v>5.0142757949999998E-2</v>
      </c>
      <c r="FT33" s="41">
        <f>37.8518639565217/(1000)</f>
        <v>3.7851863956521695E-2</v>
      </c>
      <c r="FU33" s="41">
        <f>55.9823403809524/(1000)</f>
        <v>5.59823403809524E-2</v>
      </c>
      <c r="FV33" s="41">
        <f>75.3453111363636/(1000)</f>
        <v>7.5345311136363599E-2</v>
      </c>
      <c r="FW33" s="41">
        <f>91.5533605/(1000)</f>
        <v>9.15533605E-2</v>
      </c>
      <c r="FX33" s="41">
        <f>141.195976904762/(1000)</f>
        <v>0.14119597690476202</v>
      </c>
      <c r="FY33" s="41">
        <f>169.552078652174/(1000)</f>
        <v>0.169552078652174</v>
      </c>
      <c r="FZ33" s="41">
        <f>83.1306242272727/(1000)</f>
        <v>8.3130624227272701E-2</v>
      </c>
      <c r="GA33" s="41">
        <f>48.6007145238095/(1000)</f>
        <v>4.8600714523809499E-2</v>
      </c>
      <c r="GB33" s="41">
        <f>62.5478799090909/(1000)</f>
        <v>6.25478799090909E-2</v>
      </c>
      <c r="GC33" s="41">
        <f>47.5867237391304/(1000)</f>
        <v>4.75867237391304E-2</v>
      </c>
      <c r="GD33" s="41">
        <f t="shared" si="38"/>
        <v>0.13427801007105217</v>
      </c>
      <c r="GE33" s="41">
        <f t="shared" si="39"/>
        <v>7.1919394348293086E-2</v>
      </c>
      <c r="GF33" s="41">
        <f t="shared" si="40"/>
        <v>9.2705599589212789E-2</v>
      </c>
      <c r="GT33" s="41">
        <v>17</v>
      </c>
      <c r="GU33" s="41">
        <f t="shared" si="41"/>
        <v>68</v>
      </c>
      <c r="GV33" s="55">
        <f t="shared" si="42"/>
        <v>4.2889999999999998E-2</v>
      </c>
      <c r="GW33" s="55">
        <f t="shared" si="43"/>
        <v>1.2379268000000001E-2</v>
      </c>
      <c r="GX33" s="41">
        <f>196.268444444444/(1000)</f>
        <v>0.196268444444444</v>
      </c>
      <c r="GY33" s="41">
        <f>124.195/(1000)</f>
        <v>0.124195</v>
      </c>
      <c r="GZ33" s="41">
        <f>63.0869090909091/(1000)</f>
        <v>6.3086909090909096E-2</v>
      </c>
      <c r="HA33" s="41">
        <f>72.2895652173913/(1000)</f>
        <v>7.2289565217391299E-2</v>
      </c>
      <c r="HB33" s="41">
        <f>104.955769230769/(1000)</f>
        <v>0.10495576923076899</v>
      </c>
      <c r="HC33" s="41">
        <f>108.587291666667/(1000)</f>
        <v>0.108587291666667</v>
      </c>
      <c r="HD33" s="41">
        <f>159.966470588235/(1000)</f>
        <v>0.15996647058823502</v>
      </c>
      <c r="HE33" s="41">
        <f>172.532978723404/(1000)</f>
        <v>0.17253297872340401</v>
      </c>
      <c r="HF33" s="41">
        <f>112.286111111111/(1000)</f>
        <v>0.112286111111111</v>
      </c>
      <c r="HG33" s="41">
        <f>72.5886666666667/(1000)</f>
        <v>7.258866666666669E-2</v>
      </c>
      <c r="HH33" s="41">
        <f>84.2711764705882/(1000)</f>
        <v>8.4271176470588197E-2</v>
      </c>
      <c r="HI33" s="41">
        <f>69.8029411764706/(1000)</f>
        <v>6.9802941176470595E-2</v>
      </c>
      <c r="HJ33" s="41">
        <f t="shared" si="44"/>
        <v>0.19361248102235423</v>
      </c>
      <c r="HK33" s="41">
        <f t="shared" si="45"/>
        <v>0.15370157703715487</v>
      </c>
      <c r="HL33" s="41">
        <f t="shared" si="46"/>
        <v>0.16700521169888799</v>
      </c>
      <c r="HN33" s="45">
        <v>18</v>
      </c>
      <c r="HO33" s="41">
        <f t="shared" si="13"/>
        <v>72</v>
      </c>
      <c r="HP33" s="55">
        <f t="shared" si="14"/>
        <v>7.3499999999999998E-4</v>
      </c>
      <c r="HQ33" s="55">
        <f t="shared" si="15"/>
        <v>7.2500000000000004E-3</v>
      </c>
      <c r="HR33" s="41">
        <f>36.6279761904762/(1000)</f>
        <v>3.6627976190476197E-2</v>
      </c>
      <c r="HS33" s="41">
        <f>48.064625/(1000)</f>
        <v>4.8064625E-2</v>
      </c>
      <c r="HT33" s="41">
        <f>56.9783695652174/(1000)</f>
        <v>5.6978369565217402E-2</v>
      </c>
      <c r="HU33" s="41">
        <f>55.824880952381/(1000)</f>
        <v>5.5824880952381001E-2</v>
      </c>
      <c r="HV33" s="41">
        <f>101.586931818182/(1000)</f>
        <v>0.101586931818182</v>
      </c>
      <c r="HW33" s="41">
        <f>83.8293181818182/(1000)</f>
        <v>8.3829318181818199E-2</v>
      </c>
      <c r="HX33" s="41">
        <f>287.808595238095/(1000)</f>
        <v>0.28780859523809499</v>
      </c>
      <c r="HY33" s="41">
        <f>99.8204347826087/(1000)</f>
        <v>9.98204347826087E-2</v>
      </c>
      <c r="HZ33" s="41">
        <f>98.5588636363636/(1000)</f>
        <v>9.8558863636363597E-2</v>
      </c>
      <c r="IA33" s="41">
        <f>157.657976190476/(1000)</f>
        <v>0.157657976190476</v>
      </c>
      <c r="IB33" s="41">
        <f>51.6239130434783/(1000)</f>
        <v>5.1623913043478298E-2</v>
      </c>
      <c r="IC33" s="41">
        <f>36.4547826086957/(1000)</f>
        <v>3.6454782608695703E-2</v>
      </c>
      <c r="ID33" s="41">
        <f t="shared" si="16"/>
        <v>0.18611537869965172</v>
      </c>
      <c r="IE33" s="41">
        <f t="shared" si="17"/>
        <v>9.3113039901391664E-2</v>
      </c>
      <c r="IF33" s="41">
        <f t="shared" si="18"/>
        <v>0.12411381950081167</v>
      </c>
      <c r="IH33" s="45">
        <v>18</v>
      </c>
      <c r="II33" s="41">
        <f t="shared" si="19"/>
        <v>72</v>
      </c>
      <c r="IJ33" s="55">
        <f t="shared" si="20"/>
        <v>6.3699999999999998E-4</v>
      </c>
      <c r="IK33" s="55">
        <f t="shared" si="21"/>
        <v>7.2500000000000004E-3</v>
      </c>
      <c r="IL33" s="41">
        <f>36.9503571428572/(1000)</f>
        <v>3.6950357142857201E-2</v>
      </c>
      <c r="IM33" s="41">
        <f>48.201375/(1000)</f>
        <v>4.8201374999999998E-2</v>
      </c>
      <c r="IN33" s="41">
        <f>52.0428260869565/(1000)</f>
        <v>5.2042826086956505E-2</v>
      </c>
      <c r="IO33" s="41">
        <f>47.5777380952381/(1000)</f>
        <v>4.7577738095238097E-2</v>
      </c>
      <c r="IP33" s="41">
        <f>83.6909090909091/(1000)</f>
        <v>8.3690909090909107E-2</v>
      </c>
      <c r="IQ33" s="41">
        <f>85.6923863636364/(1000)</f>
        <v>8.5692386363636408E-2</v>
      </c>
      <c r="IR33" s="41">
        <f>309.572238095238/(1000)</f>
        <v>0.30957223809523798</v>
      </c>
      <c r="IS33" s="41">
        <f>105.021847826087/(1000)</f>
        <v>0.10502184782608699</v>
      </c>
      <c r="IT33" s="41">
        <f>99.1560227272727/(1000)</f>
        <v>9.9156022727272697E-2</v>
      </c>
      <c r="IU33" s="41">
        <f>155.396547619048/(1000)</f>
        <v>0.155396547619048</v>
      </c>
      <c r="IV33" s="41">
        <f>51.3193478260869/(1000)</f>
        <v>5.1319347826086895E-2</v>
      </c>
      <c r="IW33" s="41">
        <f>36.8710869565217/(1000)</f>
        <v>3.6871086956521699E-2</v>
      </c>
      <c r="IX33" s="41">
        <f t="shared" si="49"/>
        <v>0.19521277969132317</v>
      </c>
      <c r="IY33" s="41">
        <f t="shared" si="23"/>
        <v>8.789484184650273E-2</v>
      </c>
      <c r="IZ33" s="41">
        <f t="shared" si="63"/>
        <v>0.12366748779477621</v>
      </c>
      <c r="JB33" s="45">
        <v>18</v>
      </c>
      <c r="JC33" s="41">
        <f t="shared" si="25"/>
        <v>72</v>
      </c>
      <c r="JD33" s="55">
        <v>4.1340000000000002E-2</v>
      </c>
      <c r="JE33" s="55">
        <f t="shared" si="26"/>
        <v>7.2500000000000004E-3</v>
      </c>
      <c r="JF33" s="41">
        <f>36.6729761904762/(1000)</f>
        <v>3.66729761904762E-2</v>
      </c>
      <c r="JG33" s="41">
        <f>43.6625/(1000)</f>
        <v>4.36625E-2</v>
      </c>
      <c r="JH33" s="41">
        <f>49.9234782608696/(1000)</f>
        <v>4.9923478260869604E-2</v>
      </c>
      <c r="JI33" s="41">
        <f>66.7307142857143/(1000)</f>
        <v>6.6730714285714296E-2</v>
      </c>
      <c r="JJ33" s="41">
        <f>97.2627272727273/(1000)</f>
        <v>9.7262727272727306E-2</v>
      </c>
      <c r="JK33" s="41">
        <f>87.9147727272727/(1000)</f>
        <v>8.7914772727272703E-2</v>
      </c>
      <c r="JL33" s="41">
        <f>307.528357142857/(1000)</f>
        <v>0.30752835714285698</v>
      </c>
      <c r="JM33" s="41">
        <f>106.003586956522/(1000)</f>
        <v>0.106003586956522</v>
      </c>
      <c r="JN33" s="41">
        <f>98.3576136363636/(1000)</f>
        <v>9.8357613636363597E-2</v>
      </c>
      <c r="JO33" s="41">
        <f>152.331071428571/(1000)</f>
        <v>0.152331071428571</v>
      </c>
      <c r="JP33" s="41">
        <f>50.6759782608696/(1000)</f>
        <v>5.06759782608696E-2</v>
      </c>
      <c r="JQ33" s="41">
        <f>34.5484782608696/(1000)</f>
        <v>3.4548478260869604E-2</v>
      </c>
      <c r="JR33" s="41">
        <f t="shared" si="56"/>
        <v>0.23602885326969228</v>
      </c>
      <c r="JS33" s="41">
        <f t="shared" si="57"/>
        <v>0.13168498811876525</v>
      </c>
      <c r="JT33" s="41">
        <f t="shared" si="64"/>
        <v>0.16646627650240761</v>
      </c>
      <c r="JV33" s="41">
        <v>18</v>
      </c>
      <c r="JW33" s="41">
        <f t="shared" si="30"/>
        <v>72</v>
      </c>
      <c r="JX33" s="55">
        <f t="shared" si="31"/>
        <v>3.5310000000000001E-2</v>
      </c>
      <c r="JY33" s="55">
        <f t="shared" si="32"/>
        <v>7.2500000000000004E-3</v>
      </c>
      <c r="JZ33" s="41">
        <f>36.6729761904762/(1000)</f>
        <v>3.66729761904762E-2</v>
      </c>
      <c r="KA33" s="41">
        <f>43.6625/(1000)</f>
        <v>4.36625E-2</v>
      </c>
      <c r="KB33" s="41">
        <f>49.9234782608696/(1000)</f>
        <v>4.9923478260869604E-2</v>
      </c>
      <c r="KC33" s="41">
        <f>66.7307142857143/(1000)</f>
        <v>6.6730714285714296E-2</v>
      </c>
      <c r="KD33" s="41">
        <f>97.2627272727273/(1000)</f>
        <v>9.7262727272727306E-2</v>
      </c>
      <c r="KE33" s="41">
        <f>87.9147727272727/(1000)</f>
        <v>8.7914772727272703E-2</v>
      </c>
      <c r="KF33" s="41">
        <f>307.528357142857/(1000)</f>
        <v>0.30752835714285698</v>
      </c>
      <c r="KG33" s="41">
        <f>106.003586956522/(1000)</f>
        <v>0.106003586956522</v>
      </c>
      <c r="KH33" s="41">
        <f>98.3576136363636/(1000)</f>
        <v>9.8357613636363597E-2</v>
      </c>
      <c r="KI33" s="41">
        <f>152.331071428571/(1000)</f>
        <v>0.152331071428571</v>
      </c>
      <c r="KJ33" s="41">
        <f>50.6759782608696/(1000)</f>
        <v>5.06759782608696E-2</v>
      </c>
      <c r="KK33" s="41">
        <f>34.5484782608696/(1000)</f>
        <v>3.4548478260869604E-2</v>
      </c>
      <c r="KL33" s="41">
        <f t="shared" si="59"/>
        <v>0.22999885326969227</v>
      </c>
      <c r="KM33" s="41">
        <f t="shared" si="60"/>
        <v>0.12565498811876524</v>
      </c>
      <c r="KN33" s="41">
        <f t="shared" si="65"/>
        <v>0.1604362765024076</v>
      </c>
    </row>
    <row r="34" spans="5:300">
      <c r="E34" s="41">
        <v>8</v>
      </c>
      <c r="F34" s="41">
        <v>32</v>
      </c>
      <c r="G34" s="41">
        <f>0.04189+0.05721</f>
        <v>9.9099999999999994E-2</v>
      </c>
      <c r="I34" s="41">
        <v>19</v>
      </c>
      <c r="J34" s="41">
        <f t="shared" si="1"/>
        <v>76</v>
      </c>
      <c r="K34" s="41">
        <f t="shared" si="66"/>
        <v>8.2180000000000003E-2</v>
      </c>
      <c r="L34" s="41">
        <f t="shared" si="66"/>
        <v>8.2180000000000003E-2</v>
      </c>
      <c r="M34" s="41">
        <v>4.9897600000000004</v>
      </c>
      <c r="N34" s="41">
        <v>0.28028999999999998</v>
      </c>
      <c r="O34" s="41">
        <v>0.12311999999999999</v>
      </c>
      <c r="P34" s="41">
        <v>0.12281</v>
      </c>
      <c r="Q34" s="41">
        <v>0.11491</v>
      </c>
      <c r="R34" s="41">
        <v>0.88551999999999997</v>
      </c>
      <c r="S34" s="41">
        <v>0.10868</v>
      </c>
      <c r="U34" s="41">
        <v>8</v>
      </c>
      <c r="V34" s="41">
        <v>32</v>
      </c>
      <c r="W34" s="41">
        <f>0.06798+0.0461</f>
        <v>0.11408</v>
      </c>
      <c r="Z34" s="41">
        <v>8</v>
      </c>
      <c r="AA34" s="41">
        <v>32</v>
      </c>
      <c r="AB34" s="41">
        <f>0.04605+0.0461</f>
        <v>9.215000000000001E-2</v>
      </c>
      <c r="AD34" s="41">
        <v>19</v>
      </c>
      <c r="AE34" s="41">
        <f t="shared" si="2"/>
        <v>76</v>
      </c>
      <c r="AF34" s="41">
        <f t="shared" si="6"/>
        <v>4.6050000000000001E-2</v>
      </c>
      <c r="AG34" s="41">
        <f t="shared" si="6"/>
        <v>4.6050000000000001E-2</v>
      </c>
      <c r="AH34" s="41">
        <v>4.7289599999999998</v>
      </c>
      <c r="AI34" s="41">
        <v>0.26563999999999999</v>
      </c>
      <c r="AJ34" s="41">
        <v>0.11668000000000001</v>
      </c>
      <c r="AK34" s="41">
        <v>0.11638999999999999</v>
      </c>
      <c r="AL34" s="41">
        <v>0.1089</v>
      </c>
      <c r="AM34" s="41">
        <v>0.83923999999999999</v>
      </c>
      <c r="AN34" s="41">
        <v>0.10299999999999999</v>
      </c>
      <c r="AP34" s="41">
        <v>8</v>
      </c>
      <c r="AQ34" s="41">
        <v>32</v>
      </c>
      <c r="AR34" s="41">
        <f>0.06233+0.04329</f>
        <v>0.10562000000000001</v>
      </c>
      <c r="AU34" s="41">
        <v>8</v>
      </c>
      <c r="AV34" s="41">
        <v>32</v>
      </c>
      <c r="AW34" s="41">
        <f>0.04277</f>
        <v>4.2770000000000002E-2</v>
      </c>
      <c r="AY34" s="41">
        <v>19</v>
      </c>
      <c r="AZ34" s="41">
        <f t="shared" si="3"/>
        <v>76</v>
      </c>
      <c r="BA34" s="41">
        <v>4.2770000000000002E-2</v>
      </c>
      <c r="BB34" s="41">
        <v>4.2770000000000002E-2</v>
      </c>
      <c r="BC34" s="41">
        <v>4.4121199999999998</v>
      </c>
      <c r="BD34" s="41">
        <v>0.24784</v>
      </c>
      <c r="BE34" s="41">
        <v>0.10886999999999999</v>
      </c>
      <c r="BF34" s="41">
        <v>0.10859000000000001</v>
      </c>
      <c r="BG34" s="41">
        <v>0.10161000000000001</v>
      </c>
      <c r="BH34" s="41">
        <v>0.78300999999999998</v>
      </c>
      <c r="BI34" s="41">
        <v>9.6100000000000005E-2</v>
      </c>
      <c r="BK34" s="41">
        <v>8</v>
      </c>
      <c r="BL34" s="41">
        <v>32</v>
      </c>
      <c r="BM34" s="41">
        <f>0.04025+0.03899</f>
        <v>7.9240000000000005E-2</v>
      </c>
      <c r="BT34" s="41">
        <v>19</v>
      </c>
      <c r="BU34" s="41">
        <f t="shared" si="4"/>
        <v>76</v>
      </c>
      <c r="BV34" s="41">
        <v>4.0250000000000001E-2</v>
      </c>
      <c r="BW34" s="41">
        <v>4.0250000000000001E-2</v>
      </c>
      <c r="BX34" s="41">
        <v>4.0923499999999997</v>
      </c>
      <c r="BY34" s="41">
        <v>0.22988</v>
      </c>
      <c r="BZ34" s="41">
        <v>0.10098</v>
      </c>
      <c r="CA34" s="41">
        <v>0.10072</v>
      </c>
      <c r="CB34" s="41">
        <v>9.4240000000000004E-2</v>
      </c>
      <c r="CC34" s="41">
        <v>0.72626000000000002</v>
      </c>
      <c r="CD34" s="41">
        <v>8.9139999999999997E-2</v>
      </c>
      <c r="CE34" s="41">
        <f t="shared" si="7"/>
        <v>0.13449</v>
      </c>
      <c r="DG34" s="41">
        <v>23</v>
      </c>
      <c r="DH34" s="41">
        <f t="shared" si="62"/>
        <v>92</v>
      </c>
      <c r="DI34" s="41">
        <v>0.23233999999999999</v>
      </c>
      <c r="FN34" s="41">
        <v>18</v>
      </c>
      <c r="FO34" s="41">
        <f t="shared" si="36"/>
        <v>72</v>
      </c>
      <c r="FP34" s="41">
        <f t="shared" si="37"/>
        <v>1.4300000000000003E-3</v>
      </c>
      <c r="FQ34" s="41">
        <v>1.149E-2</v>
      </c>
      <c r="FR34" s="41">
        <f>85.3977645714286/(1000)</f>
        <v>8.53977645714286E-2</v>
      </c>
      <c r="FS34" s="41">
        <f>55.20208295/(1000)</f>
        <v>5.5202082949999995E-2</v>
      </c>
      <c r="FT34" s="41">
        <f>44.0263712173913/(1000)</f>
        <v>4.4026371217391301E-2</v>
      </c>
      <c r="FU34" s="41">
        <f>57.3415284761905/(1000)</f>
        <v>5.7341528476190499E-2</v>
      </c>
      <c r="FV34" s="41">
        <f>72.7056049545454/(1000)</f>
        <v>7.2705604954545394E-2</v>
      </c>
      <c r="FW34" s="41">
        <f>80.0439509545454/(1000)</f>
        <v>8.004395095454539E-2</v>
      </c>
      <c r="FX34" s="41">
        <f>123.773648619048/(1000)</f>
        <v>0.12377364861904801</v>
      </c>
      <c r="FY34" s="41">
        <f>143.448839/(1000)</f>
        <v>0.14344883899999999</v>
      </c>
      <c r="FZ34" s="41">
        <f>73.2096134090909/(1000)</f>
        <v>7.3209613409090907E-2</v>
      </c>
      <c r="GA34" s="41">
        <f>62.7439779047619/(1000)</f>
        <v>6.2743977904761897E-2</v>
      </c>
      <c r="GB34" s="41">
        <f>52.0905871818182/(1000)</f>
        <v>5.20905871818182E-2</v>
      </c>
      <c r="GC34" s="41">
        <f>39.4569463913043/(1000)</f>
        <v>3.9456946391304301E-2</v>
      </c>
      <c r="GD34" s="41">
        <f t="shared" si="38"/>
        <v>0.11803901299567109</v>
      </c>
      <c r="GE34" s="41">
        <f t="shared" si="39"/>
        <v>7.1540607955930036E-2</v>
      </c>
      <c r="GF34" s="41">
        <f t="shared" si="40"/>
        <v>8.7040076302510386E-2</v>
      </c>
      <c r="GT34" s="41">
        <v>18</v>
      </c>
      <c r="GU34" s="41">
        <f t="shared" si="41"/>
        <v>72</v>
      </c>
      <c r="GV34" s="55">
        <f t="shared" si="42"/>
        <v>4.2889999999999998E-2</v>
      </c>
      <c r="GW34" s="55">
        <f t="shared" si="43"/>
        <v>1.2379268000000001E-2</v>
      </c>
      <c r="GX34" s="41">
        <f>183.982666666667/(1000)</f>
        <v>0.18398266666666699</v>
      </c>
      <c r="GY34" s="41">
        <f>119.283409090909/(1000)</f>
        <v>0.11928340909090901</v>
      </c>
      <c r="GZ34" s="41">
        <f>73.8023636363637/(1000)</f>
        <v>7.3802363636363694E-2</v>
      </c>
      <c r="HA34" s="41">
        <f>78.5306521739131/(1000)</f>
        <v>7.8530652173913099E-2</v>
      </c>
      <c r="HB34" s="41">
        <f>102.065961538462/(1000)</f>
        <v>0.10206596153846201</v>
      </c>
      <c r="HC34" s="41">
        <f>100.959375/(1000)</f>
        <v>0.10095937499999999</v>
      </c>
      <c r="HD34" s="41">
        <f>143.142156862745/(1000)</f>
        <v>0.14314215686274501</v>
      </c>
      <c r="HE34" s="41">
        <f>151.671063829787/(1000)</f>
        <v>0.15167106382978698</v>
      </c>
      <c r="HF34" s="41">
        <f>102.46962962963/(1000)</f>
        <v>0.10246962962963001</v>
      </c>
      <c r="HG34" s="41">
        <f>79.18/(1000)</f>
        <v>7.918E-2</v>
      </c>
      <c r="HH34" s="41">
        <f>76.7849019607843/(1000)</f>
        <v>7.6784901960784302E-2</v>
      </c>
      <c r="HI34" s="41">
        <f>62.716862745098/(1000)</f>
        <v>6.2716862745097995E-2</v>
      </c>
      <c r="HJ34" s="41">
        <f t="shared" si="44"/>
        <v>0.17982982433054051</v>
      </c>
      <c r="HK34" s="41">
        <f t="shared" si="45"/>
        <v>0.15231262022652464</v>
      </c>
      <c r="HL34" s="41">
        <f t="shared" si="46"/>
        <v>0.16148502159452993</v>
      </c>
      <c r="HN34" s="45">
        <v>19</v>
      </c>
      <c r="HO34" s="41">
        <f t="shared" si="13"/>
        <v>76</v>
      </c>
      <c r="HP34" s="55">
        <f t="shared" si="14"/>
        <v>7.3499999999999998E-4</v>
      </c>
      <c r="HQ34" s="55">
        <f t="shared" si="15"/>
        <v>7.2500000000000004E-3</v>
      </c>
      <c r="HR34" s="41">
        <f>34.2466666666667/(1000)</f>
        <v>3.4246666666666696E-2</v>
      </c>
      <c r="HS34" s="41">
        <f>40.380375/(1000)</f>
        <v>4.0380375000000003E-2</v>
      </c>
      <c r="HT34" s="41">
        <f>68.2746739130435/(1000)</f>
        <v>6.8274673913043496E-2</v>
      </c>
      <c r="HU34" s="41">
        <f>100.467619047619/(1000)</f>
        <v>0.100467619047619</v>
      </c>
      <c r="HV34" s="41">
        <f>100.090340909091/(1000)</f>
        <v>0.100090340909091</v>
      </c>
      <c r="HW34" s="41">
        <f>85.4346590909091/(1000)</f>
        <v>8.5434659090909096E-2</v>
      </c>
      <c r="HX34" s="41">
        <f>163.174047619048/(1000)</f>
        <v>0.163174047619048</v>
      </c>
      <c r="HY34" s="41">
        <f>139.726956521739/(1000)</f>
        <v>0.139726956521739</v>
      </c>
      <c r="HZ34" s="41">
        <f>118.495454545455/(1000)</f>
        <v>0.118495454545455</v>
      </c>
      <c r="IA34" s="41">
        <f>87.1130952380952/(1000)</f>
        <v>8.7113095238095198E-2</v>
      </c>
      <c r="IB34" s="41">
        <f>41.9159782608696/(1000)</f>
        <v>4.1915978260869603E-2</v>
      </c>
      <c r="IC34" s="41">
        <f>33.2551086956522/(1000)</f>
        <v>3.3255108695652194E-2</v>
      </c>
      <c r="ID34" s="41">
        <f t="shared" si="16"/>
        <v>0.16636972430535971</v>
      </c>
      <c r="IE34" s="41">
        <f t="shared" si="17"/>
        <v>8.7007477770474573E-2</v>
      </c>
      <c r="IF34" s="41">
        <f t="shared" si="18"/>
        <v>0.11346155994876961</v>
      </c>
      <c r="IH34" s="45">
        <v>19</v>
      </c>
      <c r="II34" s="41">
        <f t="shared" si="19"/>
        <v>76</v>
      </c>
      <c r="IJ34" s="55">
        <f t="shared" si="20"/>
        <v>6.3699999999999998E-4</v>
      </c>
      <c r="IK34" s="55">
        <f t="shared" si="21"/>
        <v>7.2500000000000004E-3</v>
      </c>
      <c r="IL34" s="41">
        <f>34.3547619047619/(1000)</f>
        <v>3.4354761904761902E-2</v>
      </c>
      <c r="IM34" s="41">
        <f>40.06475/(1000)</f>
        <v>4.0064749999999996E-2</v>
      </c>
      <c r="IN34" s="41">
        <f>68.9039130434783/(1000)</f>
        <v>6.8903913043478301E-2</v>
      </c>
      <c r="IO34" s="41">
        <f>97.8072619047619/(1000)</f>
        <v>9.7807261904761897E-2</v>
      </c>
      <c r="IP34" s="41">
        <f>90.4613636363636/(1000)</f>
        <v>9.0461363636363604E-2</v>
      </c>
      <c r="IQ34" s="41">
        <f>87.1581818181818/(1000)</f>
        <v>8.7158181818181801E-2</v>
      </c>
      <c r="IR34" s="41">
        <f>174.423571428571/(1000)</f>
        <v>0.17442357142857098</v>
      </c>
      <c r="IS34" s="41">
        <f>144.006956521739/(1000)</f>
        <v>0.144006956521739</v>
      </c>
      <c r="IT34" s="41">
        <f>117.457727272727/(1000)</f>
        <v>0.11745772727272699</v>
      </c>
      <c r="IU34" s="41">
        <f>86.3560714285714/(1000)</f>
        <v>8.6356071428571393E-2</v>
      </c>
      <c r="IV34" s="41">
        <f>38.6098913043478/(1000)</f>
        <v>3.8609891304347797E-2</v>
      </c>
      <c r="IW34" s="41">
        <f>32.1884782608696/(1000)</f>
        <v>3.2188478260869603E-2</v>
      </c>
      <c r="IX34" s="41">
        <f t="shared" si="49"/>
        <v>0.17133901157538087</v>
      </c>
      <c r="IY34" s="41">
        <f t="shared" si="23"/>
        <v>8.4253639294242885E-2</v>
      </c>
      <c r="IZ34" s="41">
        <f t="shared" si="63"/>
        <v>0.11328209672128889</v>
      </c>
      <c r="JB34" s="45">
        <v>19</v>
      </c>
      <c r="JC34" s="41">
        <f t="shared" si="25"/>
        <v>76</v>
      </c>
      <c r="JD34" s="55">
        <v>4.1340000000000002E-2</v>
      </c>
      <c r="JE34" s="55">
        <f t="shared" si="26"/>
        <v>7.2500000000000004E-3</v>
      </c>
      <c r="JF34" s="41">
        <f>33.3752380952381/(1000)</f>
        <v>3.3375238095238104E-2</v>
      </c>
      <c r="JG34" s="41">
        <f>37.448375/(1000)</f>
        <v>3.7448374999999999E-2</v>
      </c>
      <c r="JH34" s="41">
        <f>73.4516304347826/(1000)</f>
        <v>7.3451630434782603E-2</v>
      </c>
      <c r="JI34" s="41">
        <f>102.935238095238/(1000)</f>
        <v>0.10293523809523801</v>
      </c>
      <c r="JJ34" s="41">
        <f>98.1860227272727/(1000)</f>
        <v>9.8186022727272698E-2</v>
      </c>
      <c r="JK34" s="41">
        <f>88.1542045454545/(1000)</f>
        <v>8.8154204545454501E-2</v>
      </c>
      <c r="JL34" s="41">
        <f>178.62630952381/(1000)</f>
        <v>0.17862630952381001</v>
      </c>
      <c r="JM34" s="41">
        <f>148.544239130435/(1000)</f>
        <v>0.14854423913043499</v>
      </c>
      <c r="JN34" s="41">
        <f>119.628977272727/(1000)</f>
        <v>0.11962897727272701</v>
      </c>
      <c r="JO34" s="41">
        <f>87.8161904761905/(1000)</f>
        <v>8.7816190476190506E-2</v>
      </c>
      <c r="JP34" s="41">
        <f>41.7410869565217/(1000)</f>
        <v>4.1741086956521699E-2</v>
      </c>
      <c r="JQ34" s="41">
        <f>31.1696739130435/(1000)</f>
        <v>3.11696739130435E-2</v>
      </c>
      <c r="JR34" s="41">
        <f t="shared" si="56"/>
        <v>0.21576304077263328</v>
      </c>
      <c r="JS34" s="41">
        <f t="shared" si="57"/>
        <v>0.12767178995285736</v>
      </c>
      <c r="JT34" s="41">
        <f t="shared" si="64"/>
        <v>0.15703554022611602</v>
      </c>
      <c r="JV34" s="41">
        <v>19</v>
      </c>
      <c r="JW34" s="41">
        <f t="shared" si="30"/>
        <v>76</v>
      </c>
      <c r="JX34" s="55">
        <f t="shared" si="31"/>
        <v>3.5310000000000001E-2</v>
      </c>
      <c r="JY34" s="55">
        <f t="shared" si="32"/>
        <v>7.2500000000000004E-3</v>
      </c>
      <c r="JZ34" s="41">
        <f>33.3752380952381/(1000)</f>
        <v>3.3375238095238104E-2</v>
      </c>
      <c r="KA34" s="41">
        <f>37.448375/(1000)</f>
        <v>3.7448374999999999E-2</v>
      </c>
      <c r="KB34" s="41">
        <f>73.4516304347826/(1000)</f>
        <v>7.3451630434782603E-2</v>
      </c>
      <c r="KC34" s="41">
        <f>102.935238095238/(1000)</f>
        <v>0.10293523809523801</v>
      </c>
      <c r="KD34" s="41">
        <f>98.1860227272727/(1000)</f>
        <v>9.8186022727272698E-2</v>
      </c>
      <c r="KE34" s="41">
        <f>88.1542045454545/(1000)</f>
        <v>8.8154204545454501E-2</v>
      </c>
      <c r="KF34" s="41">
        <f>178.62630952381/(1000)</f>
        <v>0.17862630952381001</v>
      </c>
      <c r="KG34" s="41">
        <f>148.544239130435/(1000)</f>
        <v>0.14854423913043499</v>
      </c>
      <c r="KH34" s="41">
        <f>119.628977272727/(1000)</f>
        <v>0.11962897727272701</v>
      </c>
      <c r="KI34" s="41">
        <f>87.8161904761905/(1000)</f>
        <v>8.7816190476190506E-2</v>
      </c>
      <c r="KJ34" s="41">
        <f>41.7410869565217/(1000)</f>
        <v>4.1741086956521699E-2</v>
      </c>
      <c r="KK34" s="41">
        <f>31.1696739130435/(1000)</f>
        <v>3.11696739130435E-2</v>
      </c>
      <c r="KL34" s="41">
        <f t="shared" si="59"/>
        <v>0.20973304077263327</v>
      </c>
      <c r="KM34" s="41">
        <f t="shared" si="60"/>
        <v>0.12164178995285736</v>
      </c>
      <c r="KN34" s="41">
        <f t="shared" si="65"/>
        <v>0.15100554022611601</v>
      </c>
    </row>
    <row r="35" spans="5:300">
      <c r="E35" s="41">
        <v>16</v>
      </c>
      <c r="F35" s="41">
        <v>64</v>
      </c>
      <c r="G35" s="41">
        <f>0.08218+0.10637</f>
        <v>0.18855</v>
      </c>
      <c r="I35" s="41">
        <v>20</v>
      </c>
      <c r="J35" s="41">
        <f t="shared" si="1"/>
        <v>80</v>
      </c>
      <c r="K35" s="41">
        <f>0.04699</f>
        <v>4.6989999999999997E-2</v>
      </c>
      <c r="L35" s="41">
        <f>0.04699</f>
        <v>4.6989999999999997E-2</v>
      </c>
      <c r="M35" s="41">
        <v>1.2495700000000001</v>
      </c>
      <c r="N35" s="41">
        <v>0.20297000000000001</v>
      </c>
      <c r="O35" s="41">
        <v>0.12277</v>
      </c>
      <c r="P35" s="41">
        <v>0.10596999999999999</v>
      </c>
      <c r="Q35" s="41">
        <v>0.10527</v>
      </c>
      <c r="R35" s="41">
        <v>0.12601999999999999</v>
      </c>
      <c r="S35" s="41">
        <v>0.1045</v>
      </c>
      <c r="U35" s="41">
        <v>16</v>
      </c>
      <c r="V35" s="41">
        <v>64</v>
      </c>
      <c r="W35" s="41">
        <f>0.08251+0.13565</f>
        <v>0.21815999999999999</v>
      </c>
      <c r="Z35" s="41">
        <v>16</v>
      </c>
      <c r="AA35" s="41">
        <v>64</v>
      </c>
      <c r="AB35" s="41">
        <f>0.04605+0.08572</f>
        <v>0.13177</v>
      </c>
      <c r="AD35" s="41">
        <v>20</v>
      </c>
      <c r="AE35" s="41">
        <f t="shared" si="2"/>
        <v>80</v>
      </c>
      <c r="AF35" s="41">
        <f t="shared" si="6"/>
        <v>4.6050000000000001E-2</v>
      </c>
      <c r="AG35" s="41">
        <f t="shared" si="6"/>
        <v>4.6050000000000001E-2</v>
      </c>
      <c r="AH35" s="41">
        <v>1.1842600000000001</v>
      </c>
      <c r="AI35" s="41">
        <v>0.19236</v>
      </c>
      <c r="AJ35" s="41">
        <v>0.11635</v>
      </c>
      <c r="AK35" s="41">
        <v>0.10044</v>
      </c>
      <c r="AL35" s="41">
        <v>9.9769999999999998E-2</v>
      </c>
      <c r="AM35" s="41">
        <v>0.11944</v>
      </c>
      <c r="AN35" s="41">
        <v>9.9040000000000003E-2</v>
      </c>
      <c r="AP35" s="41">
        <v>16</v>
      </c>
      <c r="AQ35" s="41">
        <v>64</v>
      </c>
      <c r="AR35" s="41">
        <f>0.07609+0.11852</f>
        <v>0.19461000000000001</v>
      </c>
      <c r="AU35" s="41">
        <v>16</v>
      </c>
      <c r="AV35" s="41">
        <v>64</v>
      </c>
      <c r="AW35" s="41">
        <f>0.04277</f>
        <v>4.2770000000000002E-2</v>
      </c>
      <c r="AY35" s="41">
        <v>20</v>
      </c>
      <c r="AZ35" s="41">
        <f t="shared" si="3"/>
        <v>80</v>
      </c>
      <c r="BA35" s="41">
        <v>4.2770000000000002E-2</v>
      </c>
      <c r="BB35" s="41">
        <v>4.2770000000000002E-2</v>
      </c>
      <c r="BC35" s="41">
        <v>1.1049199999999999</v>
      </c>
      <c r="BD35" s="41">
        <v>0.17946999999999999</v>
      </c>
      <c r="BE35" s="41">
        <v>0.10856</v>
      </c>
      <c r="BF35" s="41">
        <v>9.3710000000000002E-2</v>
      </c>
      <c r="BG35" s="41">
        <v>9.3079999999999996E-2</v>
      </c>
      <c r="BH35" s="41">
        <v>0.11144</v>
      </c>
      <c r="BI35" s="41">
        <v>9.2399999999999996E-2</v>
      </c>
      <c r="BK35" s="41">
        <v>16</v>
      </c>
      <c r="BL35" s="41">
        <v>64</v>
      </c>
      <c r="BM35" s="41">
        <f>0.04025+0.07246</f>
        <v>0.11271</v>
      </c>
      <c r="BT35" s="41">
        <v>20</v>
      </c>
      <c r="BU35" s="41">
        <f t="shared" si="4"/>
        <v>80</v>
      </c>
      <c r="BV35" s="41">
        <v>4.0250000000000001E-2</v>
      </c>
      <c r="BW35" s="41">
        <v>4.0250000000000001E-2</v>
      </c>
      <c r="BX35" s="41">
        <v>1.02484</v>
      </c>
      <c r="BY35" s="41">
        <v>0.16647000000000001</v>
      </c>
      <c r="BZ35" s="41">
        <v>0.10069</v>
      </c>
      <c r="CA35" s="41">
        <v>8.6910000000000001E-2</v>
      </c>
      <c r="CB35" s="41">
        <v>8.634E-2</v>
      </c>
      <c r="CC35" s="41">
        <v>0.10335999999999999</v>
      </c>
      <c r="CD35" s="41">
        <v>8.5709999999999995E-2</v>
      </c>
      <c r="CE35" s="41">
        <f t="shared" si="7"/>
        <v>0.12659000000000001</v>
      </c>
      <c r="DG35" s="41" t="s">
        <v>124</v>
      </c>
      <c r="DH35" s="41" t="s">
        <v>125</v>
      </c>
      <c r="DI35" s="41">
        <v>4.75</v>
      </c>
      <c r="DJ35" s="41">
        <f>DI35/mo</f>
        <v>0.15573770491803279</v>
      </c>
      <c r="EN35" s="43" t="s">
        <v>48</v>
      </c>
      <c r="EO35" s="39" t="s">
        <v>49</v>
      </c>
      <c r="EP35" s="39" t="s">
        <v>148</v>
      </c>
      <c r="ES35" s="39" t="s">
        <v>48</v>
      </c>
      <c r="ET35" s="39" t="s">
        <v>49</v>
      </c>
      <c r="EU35" s="39" t="s">
        <v>78</v>
      </c>
      <c r="EX35" s="39" t="s">
        <v>48</v>
      </c>
      <c r="EY35" s="39" t="s">
        <v>49</v>
      </c>
      <c r="EZ35" s="39" t="s">
        <v>78</v>
      </c>
      <c r="FC35" s="39" t="s">
        <v>48</v>
      </c>
      <c r="FD35" s="39" t="s">
        <v>49</v>
      </c>
      <c r="FE35" s="39" t="s">
        <v>78</v>
      </c>
      <c r="FN35" s="41">
        <v>19</v>
      </c>
      <c r="FO35" s="41">
        <f t="shared" si="36"/>
        <v>76</v>
      </c>
      <c r="FP35" s="41">
        <f t="shared" si="37"/>
        <v>1.4300000000000003E-3</v>
      </c>
      <c r="FQ35" s="41">
        <v>1.149E-2</v>
      </c>
      <c r="FR35" s="41">
        <f>77.0063318095238/(1000)</f>
        <v>7.7006331809523806E-2</v>
      </c>
      <c r="FS35" s="41">
        <f>49.03233595/(1000)</f>
        <v>4.9032335949999999E-2</v>
      </c>
      <c r="FT35" s="41">
        <f>48.6870872608696/(1000)</f>
        <v>4.8687087260869601E-2</v>
      </c>
      <c r="FU35" s="41">
        <f>65.887/(1000)</f>
        <v>6.5887000000000001E-2</v>
      </c>
      <c r="FV35" s="41">
        <f>69.8796156818182/(1000)</f>
        <v>6.9879615681818191E-2</v>
      </c>
      <c r="FW35" s="41">
        <f>70.6761542272727/(1000)</f>
        <v>7.0676154227272706E-2</v>
      </c>
      <c r="FX35" s="41">
        <f>103.993828714286/(1000)</f>
        <v>0.103993828714286</v>
      </c>
      <c r="FY35" s="41">
        <f>120.687730869565/(1000)</f>
        <v>0.120687730869565</v>
      </c>
      <c r="FZ35" s="41">
        <f>68.7632319090909/(1000)</f>
        <v>6.8763231909090908E-2</v>
      </c>
      <c r="GA35" s="41">
        <f>62.1984008571429/(1000)</f>
        <v>6.2198400857142899E-2</v>
      </c>
      <c r="GB35" s="41">
        <f>45.3114078636364/(1000)</f>
        <v>4.5311407863636396E-2</v>
      </c>
      <c r="GC35" s="41">
        <f>36.4804333913043/(1000)</f>
        <v>3.6480433391304301E-2</v>
      </c>
      <c r="GD35" s="41">
        <f t="shared" si="38"/>
        <v>0.10395023643005366</v>
      </c>
      <c r="GE35" s="41">
        <f t="shared" si="39"/>
        <v>6.9730326601786907E-2</v>
      </c>
      <c r="GF35" s="41">
        <f t="shared" si="40"/>
        <v>8.113696321120914E-2</v>
      </c>
      <c r="GT35" s="41">
        <v>19</v>
      </c>
      <c r="GU35" s="41">
        <f t="shared" si="41"/>
        <v>76</v>
      </c>
      <c r="GV35" s="55">
        <f t="shared" si="42"/>
        <v>4.2889999999999998E-2</v>
      </c>
      <c r="GW35" s="55">
        <f t="shared" si="43"/>
        <v>1.2379268000000001E-2</v>
      </c>
      <c r="GX35" s="41">
        <f>171.017111111111/(1000)</f>
        <v>0.17101711111111101</v>
      </c>
      <c r="GY35" s="41">
        <f>108.342045454545/(1000)</f>
        <v>0.108342045454545</v>
      </c>
      <c r="GZ35" s="41">
        <f>73.1538181818182/(1000)</f>
        <v>7.3153818181818195E-2</v>
      </c>
      <c r="HA35" s="41">
        <f>84.7445652173914/(1000)</f>
        <v>8.474456521739139E-2</v>
      </c>
      <c r="HB35" s="41">
        <f>97.2640384615385/(1000)</f>
        <v>9.7264038461538499E-2</v>
      </c>
      <c r="HC35" s="41">
        <f>93.2964583333334/(1000)</f>
        <v>9.3296458333333401E-2</v>
      </c>
      <c r="HD35" s="41">
        <f>123.092941176471/(1000)</f>
        <v>0.123092941176471</v>
      </c>
      <c r="HE35" s="41">
        <f>137.29914893617/(1000)</f>
        <v>0.13729914893617001</v>
      </c>
      <c r="HF35" s="41">
        <f>100.932592592593/(1000)</f>
        <v>0.10093259259259299</v>
      </c>
      <c r="HG35" s="41">
        <f>76.6195555555556/(1000)</f>
        <v>7.6619555555555607E-2</v>
      </c>
      <c r="HH35" s="41">
        <f>66.9688235294118/(1000)</f>
        <v>6.6968823529411789E-2</v>
      </c>
      <c r="HI35" s="41">
        <f>55.2921568627451/(1000)</f>
        <v>5.52921568627451E-2</v>
      </c>
      <c r="HJ35" s="41">
        <f t="shared" si="44"/>
        <v>0.16892455325964184</v>
      </c>
      <c r="HK35" s="41">
        <f t="shared" si="45"/>
        <v>0.14694453229676457</v>
      </c>
      <c r="HL35" s="41">
        <f t="shared" si="46"/>
        <v>0.15427120595105698</v>
      </c>
      <c r="HN35" s="45">
        <v>20</v>
      </c>
      <c r="HO35" s="41">
        <f t="shared" si="13"/>
        <v>80</v>
      </c>
      <c r="HP35" s="55">
        <f t="shared" si="14"/>
        <v>7.3499999999999998E-4</v>
      </c>
      <c r="HQ35" s="55">
        <f t="shared" si="15"/>
        <v>7.2500000000000004E-3</v>
      </c>
      <c r="HR35" s="41">
        <f>34.5997619047619/(1000)</f>
        <v>3.4599761904761897E-2</v>
      </c>
      <c r="HS35" s="41">
        <f>38.357/(1000)</f>
        <v>3.8357000000000002E-2</v>
      </c>
      <c r="HT35" s="41">
        <f>58.1466304347826/(1000)</f>
        <v>5.8146630434782604E-2</v>
      </c>
      <c r="HU35" s="41">
        <f>126.89369047619/(1000)</f>
        <v>0.12689369047619001</v>
      </c>
      <c r="HV35" s="41">
        <f>133.364886363636/(1000)</f>
        <v>0.133364886363636</v>
      </c>
      <c r="HW35" s="41">
        <f>99.8052272727273/(1000)</f>
        <v>9.9805227272727295E-2</v>
      </c>
      <c r="HX35" s="41">
        <f>122.349047619048/(1000)</f>
        <v>0.122349047619048</v>
      </c>
      <c r="HY35" s="41">
        <f>147.01652173913/(1000)</f>
        <v>0.14701652173913002</v>
      </c>
      <c r="HZ35" s="41">
        <f>74.0581818181818/(1000)</f>
        <v>7.4058181818181787E-2</v>
      </c>
      <c r="IA35" s="41">
        <f>49.6323809523809/(1000)</f>
        <v>4.96323809523809E-2</v>
      </c>
      <c r="IB35" s="41">
        <f>38.2059782608696/(1000)</f>
        <v>3.8205978260869598E-2</v>
      </c>
      <c r="IC35" s="41">
        <f>30.1994565217391/(1000)</f>
        <v>3.0199456521739103E-2</v>
      </c>
      <c r="ID35" s="41">
        <f t="shared" si="16"/>
        <v>0.14649405576533972</v>
      </c>
      <c r="IE35" s="41">
        <f t="shared" si="17"/>
        <v>8.7578716392868752E-2</v>
      </c>
      <c r="IF35" s="41">
        <f t="shared" si="18"/>
        <v>0.10721716285035909</v>
      </c>
      <c r="IH35" s="45">
        <v>20</v>
      </c>
      <c r="II35" s="41">
        <f t="shared" si="19"/>
        <v>80</v>
      </c>
      <c r="IJ35" s="55">
        <f t="shared" si="20"/>
        <v>6.3699999999999998E-4</v>
      </c>
      <c r="IK35" s="55">
        <f t="shared" si="21"/>
        <v>7.2500000000000004E-3</v>
      </c>
      <c r="IL35" s="41">
        <f>34.1682142857143/(1000)</f>
        <v>3.4168214285714302E-2</v>
      </c>
      <c r="IM35" s="41">
        <f>37.1895/(1000)</f>
        <v>3.71895E-2</v>
      </c>
      <c r="IN35" s="41">
        <f>56.3363043478261/(1000)</f>
        <v>5.6336304347826098E-2</v>
      </c>
      <c r="IO35" s="41">
        <f>121.837619047619/(1000)</f>
        <v>0.121837619047619</v>
      </c>
      <c r="IP35" s="41">
        <f>121.109090909091/(1000)</f>
        <v>0.121109090909091</v>
      </c>
      <c r="IQ35" s="41">
        <f>91.9595454545454/(1000)</f>
        <v>9.1959545454545405E-2</v>
      </c>
      <c r="IR35" s="41">
        <f>127.262142857143/(1000)</f>
        <v>0.12726214285714302</v>
      </c>
      <c r="IS35" s="41">
        <f>149.61/(1000)</f>
        <v>0.14961000000000002</v>
      </c>
      <c r="IT35" s="41">
        <f>72.8518181818182/(1000)</f>
        <v>7.2851818181818198E-2</v>
      </c>
      <c r="IU35" s="41">
        <f>47.3260714285714/(1000)</f>
        <v>4.7326071428571405E-2</v>
      </c>
      <c r="IV35" s="41">
        <f>37.2407608695652/(1000)</f>
        <v>3.7240760869565202E-2</v>
      </c>
      <c r="IW35" s="41">
        <f>28.7195652173913/(1000)</f>
        <v>2.8719565217391298E-2</v>
      </c>
      <c r="IX35" s="41">
        <f t="shared" si="49"/>
        <v>0.14591309577922082</v>
      </c>
      <c r="IY35" s="41">
        <f t="shared" si="23"/>
        <v>8.3500613454027872E-2</v>
      </c>
      <c r="IZ35" s="41">
        <f t="shared" si="63"/>
        <v>0.10430477422909218</v>
      </c>
      <c r="JB35" s="45">
        <v>20</v>
      </c>
      <c r="JC35" s="41">
        <f t="shared" si="25"/>
        <v>80</v>
      </c>
      <c r="JD35" s="55">
        <v>4.1340000000000002E-2</v>
      </c>
      <c r="JE35" s="55">
        <f t="shared" si="26"/>
        <v>7.2500000000000004E-3</v>
      </c>
      <c r="JF35" s="41">
        <f>44.2522619047619/(1000)</f>
        <v>4.4252261904761898E-2</v>
      </c>
      <c r="JG35" s="41">
        <f>34.7625/(1000)</f>
        <v>3.4762500000000002E-2</v>
      </c>
      <c r="JH35" s="41">
        <f>65.5642391304348/(1000)</f>
        <v>6.5564239130434798E-2</v>
      </c>
      <c r="JI35" s="41">
        <f>134.564404761905/(1000)</f>
        <v>0.13456440476190498</v>
      </c>
      <c r="JJ35" s="41">
        <f>128.006022727273/(1000)</f>
        <v>0.12800602272727302</v>
      </c>
      <c r="JK35" s="41">
        <f>92.3819318181818/(1000)</f>
        <v>9.2381931818181801E-2</v>
      </c>
      <c r="JL35" s="41">
        <f>134.929404761905/(1000)</f>
        <v>0.13492940476190501</v>
      </c>
      <c r="JM35" s="41">
        <f>154.625869565217/(1000)</f>
        <v>0.15462586956521698</v>
      </c>
      <c r="JN35" s="41">
        <f>75.1043181818182/(1000)</f>
        <v>7.5104318181818203E-2</v>
      </c>
      <c r="JO35" s="41">
        <f>50.0403571428571/(1000)</f>
        <v>5.0040357142857095E-2</v>
      </c>
      <c r="JP35" s="41">
        <f>37.7710869565217/(1000)</f>
        <v>3.7771086956521698E-2</v>
      </c>
      <c r="JQ35" s="41">
        <f>28.0826086956522/(1000)</f>
        <v>2.8082608695652201E-2</v>
      </c>
      <c r="JR35" s="41">
        <f t="shared" si="56"/>
        <v>0.19141547635222561</v>
      </c>
      <c r="JS35" s="41">
        <f t="shared" si="57"/>
        <v>0.13031554395615713</v>
      </c>
      <c r="JT35" s="41">
        <f t="shared" si="64"/>
        <v>0.15068218808817996</v>
      </c>
      <c r="JV35" s="41">
        <v>20</v>
      </c>
      <c r="JW35" s="41">
        <f t="shared" si="30"/>
        <v>80</v>
      </c>
      <c r="JX35" s="55">
        <f t="shared" si="31"/>
        <v>3.5310000000000001E-2</v>
      </c>
      <c r="JY35" s="55">
        <f t="shared" si="32"/>
        <v>7.2500000000000004E-3</v>
      </c>
      <c r="JZ35" s="41">
        <f>44.2522619047619/(1000)</f>
        <v>4.4252261904761898E-2</v>
      </c>
      <c r="KA35" s="41">
        <f>34.7625/(1000)</f>
        <v>3.4762500000000002E-2</v>
      </c>
      <c r="KB35" s="41">
        <f>65.5642391304348/(1000)</f>
        <v>6.5564239130434798E-2</v>
      </c>
      <c r="KC35" s="41">
        <f>134.564404761905/(1000)</f>
        <v>0.13456440476190498</v>
      </c>
      <c r="KD35" s="41">
        <f>128.006022727273/(1000)</f>
        <v>0.12800602272727302</v>
      </c>
      <c r="KE35" s="41">
        <f>92.3819318181818/(1000)</f>
        <v>9.2381931818181801E-2</v>
      </c>
      <c r="KF35" s="41">
        <f>134.929404761905/(1000)</f>
        <v>0.13492940476190501</v>
      </c>
      <c r="KG35" s="41">
        <f>154.625869565217/(1000)</f>
        <v>0.15462586956521698</v>
      </c>
      <c r="KH35" s="41">
        <f>75.1043181818182/(1000)</f>
        <v>7.5104318181818203E-2</v>
      </c>
      <c r="KI35" s="41">
        <f>50.0403571428571/(1000)</f>
        <v>5.0040357142857095E-2</v>
      </c>
      <c r="KJ35" s="41">
        <f>37.7710869565217/(1000)</f>
        <v>3.7771086956521698E-2</v>
      </c>
      <c r="KK35" s="41">
        <f>28.0826086956522/(1000)</f>
        <v>2.8082608695652201E-2</v>
      </c>
      <c r="KL35" s="41">
        <f t="shared" si="59"/>
        <v>0.18538547635222563</v>
      </c>
      <c r="KM35" s="41">
        <f t="shared" si="60"/>
        <v>0.12428554395615714</v>
      </c>
      <c r="KN35" s="41">
        <f t="shared" si="65"/>
        <v>0.14465218808817998</v>
      </c>
    </row>
    <row r="36" spans="5:300" ht="16">
      <c r="E36" s="41">
        <v>21</v>
      </c>
      <c r="F36" s="41">
        <v>84</v>
      </c>
      <c r="G36" s="41">
        <f>0.04699+0.076</f>
        <v>0.12298999999999999</v>
      </c>
      <c r="I36" s="41">
        <v>21</v>
      </c>
      <c r="J36" s="41">
        <f t="shared" si="1"/>
        <v>84</v>
      </c>
      <c r="K36" s="41">
        <f t="shared" ref="K36:L38" si="67">0.04699</f>
        <v>4.6989999999999997E-2</v>
      </c>
      <c r="L36" s="41">
        <f t="shared" si="67"/>
        <v>4.6989999999999997E-2</v>
      </c>
      <c r="M36" s="41">
        <v>0.12973999999999999</v>
      </c>
      <c r="N36" s="41">
        <v>0.11064</v>
      </c>
      <c r="O36" s="41">
        <v>0.10985</v>
      </c>
      <c r="P36" s="41">
        <v>0.10362</v>
      </c>
      <c r="Q36" s="41">
        <v>9.9440000000000001E-2</v>
      </c>
      <c r="R36" s="41">
        <v>9.851E-2</v>
      </c>
      <c r="S36" s="41">
        <v>9.7189999999999999E-2</v>
      </c>
      <c r="U36" s="41">
        <v>21</v>
      </c>
      <c r="V36" s="41">
        <v>84</v>
      </c>
      <c r="W36" s="41">
        <f>0.05245+0.07196</f>
        <v>0.12440999999999999</v>
      </c>
      <c r="Z36" s="41">
        <v>21</v>
      </c>
      <c r="AA36" s="41">
        <v>84</v>
      </c>
      <c r="AB36" s="41">
        <f>0.04605+0.07196</f>
        <v>0.11801</v>
      </c>
      <c r="AD36" s="41">
        <v>21</v>
      </c>
      <c r="AE36" s="41">
        <f t="shared" si="2"/>
        <v>84</v>
      </c>
      <c r="AF36" s="41">
        <f t="shared" si="6"/>
        <v>4.6050000000000001E-2</v>
      </c>
      <c r="AG36" s="41">
        <f t="shared" si="6"/>
        <v>4.6050000000000001E-2</v>
      </c>
      <c r="AH36" s="41">
        <v>0.12296</v>
      </c>
      <c r="AI36" s="41">
        <v>0.10485999999999999</v>
      </c>
      <c r="AJ36" s="41">
        <v>0.10410999999999999</v>
      </c>
      <c r="AK36" s="41">
        <v>9.8199999999999996E-2</v>
      </c>
      <c r="AL36" s="41">
        <v>9.4240000000000004E-2</v>
      </c>
      <c r="AM36" s="41">
        <v>9.3359999999999999E-2</v>
      </c>
      <c r="AN36" s="41">
        <v>9.2109999999999997E-2</v>
      </c>
      <c r="AP36" s="41">
        <v>21</v>
      </c>
      <c r="AQ36" s="41">
        <v>84</v>
      </c>
      <c r="AR36" s="41">
        <f>0.04805+0.06747</f>
        <v>0.11552000000000001</v>
      </c>
      <c r="AU36" s="41">
        <v>21</v>
      </c>
      <c r="AV36" s="41">
        <v>84</v>
      </c>
      <c r="AW36" s="41">
        <f>0.04277</f>
        <v>4.2770000000000002E-2</v>
      </c>
      <c r="AY36" s="41">
        <v>21</v>
      </c>
      <c r="AZ36" s="41">
        <f t="shared" si="3"/>
        <v>84</v>
      </c>
      <c r="BA36" s="41">
        <v>4.2770000000000002E-2</v>
      </c>
      <c r="BB36" s="41">
        <v>4.2770000000000002E-2</v>
      </c>
      <c r="BC36" s="41">
        <v>0.11472</v>
      </c>
      <c r="BD36" s="41">
        <v>9.783E-2</v>
      </c>
      <c r="BE36" s="41">
        <v>9.7129999999999994E-2</v>
      </c>
      <c r="BF36" s="41">
        <v>9.1619999999999993E-2</v>
      </c>
      <c r="BG36" s="41">
        <v>8.7929999999999994E-2</v>
      </c>
      <c r="BH36" s="41">
        <v>8.7110000000000007E-2</v>
      </c>
      <c r="BI36" s="41">
        <v>8.5940000000000003E-2</v>
      </c>
      <c r="BK36" s="41">
        <v>21</v>
      </c>
      <c r="BL36" s="41">
        <v>84</v>
      </c>
      <c r="BM36" s="41">
        <f>0.04025+0.06083</f>
        <v>0.10108</v>
      </c>
      <c r="BT36" s="41">
        <v>21</v>
      </c>
      <c r="BU36" s="41">
        <f t="shared" si="4"/>
        <v>84</v>
      </c>
      <c r="BV36" s="41">
        <v>4.0250000000000001E-2</v>
      </c>
      <c r="BW36" s="41">
        <v>4.0250000000000001E-2</v>
      </c>
      <c r="BX36" s="41">
        <v>0.10641</v>
      </c>
      <c r="BY36" s="41">
        <v>9.0740000000000001E-2</v>
      </c>
      <c r="BZ36" s="41">
        <v>9.0090000000000003E-2</v>
      </c>
      <c r="CA36" s="41">
        <v>8.498E-2</v>
      </c>
      <c r="CB36" s="41">
        <v>8.1549999999999997E-2</v>
      </c>
      <c r="CC36" s="41">
        <v>8.0799999999999997E-2</v>
      </c>
      <c r="CD36" s="41">
        <v>7.9710000000000003E-2</v>
      </c>
      <c r="CE36" s="41">
        <f t="shared" si="7"/>
        <v>0.12179999999999999</v>
      </c>
      <c r="EA36">
        <v>0.16511999999999999</v>
      </c>
      <c r="EN36" s="45">
        <v>0</v>
      </c>
      <c r="EO36" s="41">
        <f>EN36/$B$1</f>
        <v>0</v>
      </c>
      <c r="EP36" s="41">
        <v>0.10218000000000001</v>
      </c>
      <c r="ES36" s="41">
        <v>0</v>
      </c>
      <c r="ET36" s="41">
        <f>ES36/$B$1</f>
        <v>0</v>
      </c>
      <c r="EU36" s="41">
        <v>0.10136000000000001</v>
      </c>
      <c r="EX36" s="41">
        <v>0</v>
      </c>
      <c r="EY36" s="41">
        <f>EX36/$B$1</f>
        <v>0</v>
      </c>
      <c r="EZ36" s="41">
        <v>9.2799999999999994E-2</v>
      </c>
      <c r="FC36" s="41">
        <v>0</v>
      </c>
      <c r="FD36" s="41">
        <f>FC36/$B$1</f>
        <v>0</v>
      </c>
      <c r="FE36" s="41">
        <f>0.12729+0.05903</f>
        <v>0.18631999999999999</v>
      </c>
      <c r="FN36" s="41">
        <v>20</v>
      </c>
      <c r="FO36" s="41">
        <f t="shared" si="36"/>
        <v>80</v>
      </c>
      <c r="FP36" s="41">
        <f t="shared" si="37"/>
        <v>1.4300000000000003E-3</v>
      </c>
      <c r="FQ36" s="41">
        <v>1.149E-2</v>
      </c>
      <c r="FR36" s="41">
        <f>70.9685154761905/(1000)</f>
        <v>7.09685154761905E-2</v>
      </c>
      <c r="FS36" s="41">
        <f>45.9155311/(1000)</f>
        <v>4.5915531100000004E-2</v>
      </c>
      <c r="FT36" s="41">
        <f>44.0596443043478/(1000)</f>
        <v>4.4059644304347799E-2</v>
      </c>
      <c r="FU36" s="41">
        <f>69.7297260952381/(1000)</f>
        <v>6.9729726095238101E-2</v>
      </c>
      <c r="FV36" s="41">
        <f>70.6875204090909/(1000)</f>
        <v>7.068752040909089E-2</v>
      </c>
      <c r="FW36" s="41">
        <f>67.2945034545455/(1000)</f>
        <v>6.7294503454545504E-2</v>
      </c>
      <c r="FX36" s="41">
        <f>91.5531737619048/(1000)</f>
        <v>9.1553173761904805E-2</v>
      </c>
      <c r="FY36" s="41">
        <f>105.734149695652/(1000)</f>
        <v>0.10573414969565199</v>
      </c>
      <c r="FZ36" s="41">
        <f>65.2347536363636/(1000)</f>
        <v>6.5234753636363607E-2</v>
      </c>
      <c r="GA36" s="41">
        <f>48.8275696190476/(1000)</f>
        <v>4.8827569619047599E-2</v>
      </c>
      <c r="GB36" s="41">
        <f>41.2735244545455/(1000)</f>
        <v>4.1273524454545504E-2</v>
      </c>
      <c r="GC36" s="41">
        <f>34.4924263478261/(1000)</f>
        <v>3.4492426347826094E-2</v>
      </c>
      <c r="GD36" s="41">
        <f t="shared" si="38"/>
        <v>9.5374145137116478E-2</v>
      </c>
      <c r="GE36" s="41">
        <f t="shared" si="39"/>
        <v>6.6164307225785812E-2</v>
      </c>
      <c r="GF36" s="41">
        <f t="shared" si="40"/>
        <v>7.590091986289603E-2</v>
      </c>
      <c r="GT36" s="41">
        <v>20</v>
      </c>
      <c r="GU36" s="41">
        <f t="shared" si="41"/>
        <v>80</v>
      </c>
      <c r="GV36" s="55">
        <f t="shared" si="42"/>
        <v>4.2889999999999998E-2</v>
      </c>
      <c r="GW36" s="55">
        <f t="shared" si="43"/>
        <v>1.2379268000000001E-2</v>
      </c>
      <c r="GX36" s="41">
        <f>150.314/(1000)</f>
        <v>0.150314</v>
      </c>
      <c r="GY36" s="41">
        <f>95.8675/(1000)</f>
        <v>9.5867500000000008E-2</v>
      </c>
      <c r="GZ36" s="41">
        <f>65.9925454545455/(1000)</f>
        <v>6.5992545454545512E-2</v>
      </c>
      <c r="HA36" s="41">
        <f>83.4508695652174/(1000)</f>
        <v>8.3450869565217398E-2</v>
      </c>
      <c r="HB36" s="41">
        <f>96.3573076923077/(1000)</f>
        <v>9.63573076923077E-2</v>
      </c>
      <c r="HC36" s="41">
        <f>85.9110416666666/(1000)</f>
        <v>8.5911041666666604E-2</v>
      </c>
      <c r="HD36" s="41">
        <f>107.83/(1000)</f>
        <v>0.10783</v>
      </c>
      <c r="HE36" s="41">
        <f>120.754680851064/(1000)</f>
        <v>0.120754680851064</v>
      </c>
      <c r="HF36" s="41">
        <f>90.3312962962963/(1000)</f>
        <v>9.0331296296296298E-2</v>
      </c>
      <c r="HG36" s="41">
        <f>67.2593333333333/(1000)</f>
        <v>6.7259333333333296E-2</v>
      </c>
      <c r="HH36" s="41">
        <f>61.1096078431373/(1000)</f>
        <v>6.1109607843137299E-2</v>
      </c>
      <c r="HI36" s="41">
        <f>50.1807843137255/(1000)</f>
        <v>5.0180784313725503E-2</v>
      </c>
      <c r="HJ36" s="41">
        <f t="shared" si="44"/>
        <v>0.15647602270350675</v>
      </c>
      <c r="HK36" s="41">
        <f t="shared" si="45"/>
        <v>0.13908576152528335</v>
      </c>
      <c r="HL36" s="41">
        <f t="shared" si="46"/>
        <v>0.14488251525135779</v>
      </c>
      <c r="HN36" s="45">
        <v>21</v>
      </c>
      <c r="HO36" s="41">
        <f t="shared" si="13"/>
        <v>84</v>
      </c>
      <c r="HP36" s="55">
        <f t="shared" si="14"/>
        <v>7.3499999999999998E-4</v>
      </c>
      <c r="HQ36" s="55">
        <f t="shared" si="15"/>
        <v>7.2500000000000004E-3</v>
      </c>
      <c r="HR36" s="41">
        <f>31.9283333333333/(1000)</f>
        <v>3.1928333333333302E-2</v>
      </c>
      <c r="HS36" s="41">
        <f>46.655125/(1000)</f>
        <v>4.6655124999999999E-2</v>
      </c>
      <c r="HT36" s="41">
        <f>39.6008695652174/(1000)</f>
        <v>3.9600869565217404E-2</v>
      </c>
      <c r="HU36" s="41">
        <f>71.5144047619048/(1000)</f>
        <v>7.1514404761904793E-2</v>
      </c>
      <c r="HV36" s="41">
        <f>97.8069318181818/(1000)</f>
        <v>9.78069318181818E-2</v>
      </c>
      <c r="HW36" s="41">
        <f>83.9919318181818/(1000)</f>
        <v>8.3991931818181792E-2</v>
      </c>
      <c r="HX36" s="41">
        <f>74.8575/(1000)</f>
        <v>7.4857500000000007E-2</v>
      </c>
      <c r="HY36" s="41">
        <f>83.3697826086957/(1000)</f>
        <v>8.3369782608695694E-2</v>
      </c>
      <c r="HZ36" s="41">
        <f>65.0984090909091/(1000)</f>
        <v>6.5098409090909096E-2</v>
      </c>
      <c r="IA36" s="41">
        <f>45.2608333333333/(1000)</f>
        <v>4.5260833333333299E-2</v>
      </c>
      <c r="IB36" s="41">
        <f>37.519347826087/(1000)</f>
        <v>3.7519347826086999E-2</v>
      </c>
      <c r="IC36" s="41">
        <f>31.4145652173913/(1000)</f>
        <v>3.1414565217391298E-2</v>
      </c>
      <c r="ID36" s="41">
        <f t="shared" si="16"/>
        <v>0.10402175734930831</v>
      </c>
      <c r="IE36" s="41">
        <f t="shared" si="17"/>
        <v>7.0750689196163896E-2</v>
      </c>
      <c r="IF36" s="41">
        <f t="shared" si="18"/>
        <v>8.1841045247212044E-2</v>
      </c>
      <c r="IH36" s="45">
        <v>21</v>
      </c>
      <c r="II36" s="41">
        <f t="shared" si="19"/>
        <v>84</v>
      </c>
      <c r="IJ36" s="55">
        <f t="shared" si="20"/>
        <v>6.3699999999999998E-4</v>
      </c>
      <c r="IK36" s="55">
        <f t="shared" si="21"/>
        <v>7.2500000000000004E-3</v>
      </c>
      <c r="IL36" s="41">
        <f>31.3555952380952/(1000)</f>
        <v>3.1355595238095203E-2</v>
      </c>
      <c r="IM36" s="41">
        <f>45.313/(1000)</f>
        <v>4.5312999999999999E-2</v>
      </c>
      <c r="IN36" s="41">
        <f>36.2982608695652/(1000)</f>
        <v>3.6298260869565196E-2</v>
      </c>
      <c r="IO36" s="41">
        <f>65.302619047619/(1000)</f>
        <v>6.5302619047618998E-2</v>
      </c>
      <c r="IP36" s="41">
        <f>83.2704545454545/(1000)</f>
        <v>8.3270454545454495E-2</v>
      </c>
      <c r="IQ36" s="41">
        <f>76.0753409090909/(1000)</f>
        <v>7.6075340909090891E-2</v>
      </c>
      <c r="IR36" s="41">
        <f>76.4415476190476/(1000)</f>
        <v>7.6441547619047603E-2</v>
      </c>
      <c r="IS36" s="41">
        <f>83.9242391304348/(1000)</f>
        <v>8.39242391304348E-2</v>
      </c>
      <c r="IT36" s="41">
        <f>63.9861363636364/(1000)</f>
        <v>6.3986136363636398E-2</v>
      </c>
      <c r="IU36" s="41">
        <f>43.3334523809524/(1000)</f>
        <v>4.3333452380952403E-2</v>
      </c>
      <c r="IV36" s="41">
        <f>33.0445652173913/(1000)</f>
        <v>3.3044565217391304E-2</v>
      </c>
      <c r="IW36" s="41">
        <f>27.6917391304348/(1000)</f>
        <v>2.7691739130434802E-2</v>
      </c>
      <c r="IX36" s="41">
        <f t="shared" si="49"/>
        <v>0.10177052000694052</v>
      </c>
      <c r="IY36" s="41">
        <f t="shared" si="23"/>
        <v>6.501351350461132E-2</v>
      </c>
      <c r="IZ36" s="41">
        <f t="shared" si="63"/>
        <v>7.7265849005387716E-2</v>
      </c>
      <c r="JB36" s="45">
        <v>21</v>
      </c>
      <c r="JC36" s="41">
        <f t="shared" si="25"/>
        <v>84</v>
      </c>
      <c r="JD36" s="55">
        <v>4.1340000000000002E-2</v>
      </c>
      <c r="JE36" s="55">
        <f t="shared" si="26"/>
        <v>7.2500000000000004E-3</v>
      </c>
      <c r="JF36" s="41">
        <f>40.0146428571429/(1000)</f>
        <v>4.0014642857142901E-2</v>
      </c>
      <c r="JG36" s="41">
        <f>42.490125/(1000)</f>
        <v>4.2490124999999997E-2</v>
      </c>
      <c r="JH36" s="41">
        <f>41.985/(1000)</f>
        <v>4.1985000000000001E-2</v>
      </c>
      <c r="JI36" s="41">
        <f>69.0922619047619/(1000)</f>
        <v>6.9092261904761892E-2</v>
      </c>
      <c r="JJ36" s="41">
        <f>90.2398863636363/(1000)</f>
        <v>9.0239886363636307E-2</v>
      </c>
      <c r="JK36" s="41">
        <f>76.1792045454546/(1000)</f>
        <v>7.6179204545454599E-2</v>
      </c>
      <c r="JL36" s="41">
        <f>78.4971428571429/(1000)</f>
        <v>7.8497142857142904E-2</v>
      </c>
      <c r="JM36" s="41">
        <f>84.8623913043478/(1000)</f>
        <v>8.4862391304347792E-2</v>
      </c>
      <c r="JN36" s="41">
        <f>66.1107954545455/(1000)</f>
        <v>6.6110795454545498E-2</v>
      </c>
      <c r="JO36" s="41">
        <f>45.6392857142857/(1000)</f>
        <v>4.5639285714285702E-2</v>
      </c>
      <c r="JP36" s="41">
        <f>36.3084782608696/(1000)</f>
        <v>3.6308478260869602E-2</v>
      </c>
      <c r="JQ36" s="41">
        <f>27.1328260869565/(1000)</f>
        <v>2.71328260869565E-2</v>
      </c>
      <c r="JR36" s="41">
        <f t="shared" si="56"/>
        <v>0.14410547942546589</v>
      </c>
      <c r="JS36" s="41">
        <f t="shared" si="57"/>
        <v>0.10998101659182077</v>
      </c>
      <c r="JT36" s="41">
        <f t="shared" si="64"/>
        <v>0.12135583753636914</v>
      </c>
      <c r="JV36" s="41">
        <v>21</v>
      </c>
      <c r="JW36" s="41">
        <f t="shared" si="30"/>
        <v>84</v>
      </c>
      <c r="JX36" s="55">
        <f t="shared" si="31"/>
        <v>3.5310000000000001E-2</v>
      </c>
      <c r="JY36" s="55">
        <f t="shared" si="32"/>
        <v>7.2500000000000004E-3</v>
      </c>
      <c r="JZ36" s="41">
        <f>40.0146428571429/(1000)</f>
        <v>4.0014642857142901E-2</v>
      </c>
      <c r="KA36" s="41">
        <f>42.490125/(1000)</f>
        <v>4.2490124999999997E-2</v>
      </c>
      <c r="KB36" s="41">
        <f>41.985/(1000)</f>
        <v>4.1985000000000001E-2</v>
      </c>
      <c r="KC36" s="41">
        <f>69.0922619047619/(1000)</f>
        <v>6.9092261904761892E-2</v>
      </c>
      <c r="KD36" s="41">
        <f>90.2398863636363/(1000)</f>
        <v>9.0239886363636307E-2</v>
      </c>
      <c r="KE36" s="41">
        <f>76.1792045454546/(1000)</f>
        <v>7.6179204545454599E-2</v>
      </c>
      <c r="KF36" s="41">
        <f>78.4971428571429/(1000)</f>
        <v>7.8497142857142904E-2</v>
      </c>
      <c r="KG36" s="41">
        <f>84.8623913043478/(1000)</f>
        <v>8.4862391304347792E-2</v>
      </c>
      <c r="KH36" s="41">
        <f>66.1107954545455/(1000)</f>
        <v>6.6110795454545498E-2</v>
      </c>
      <c r="KI36" s="41">
        <f>45.6392857142857/(1000)</f>
        <v>4.5639285714285702E-2</v>
      </c>
      <c r="KJ36" s="41">
        <f>36.3084782608696/(1000)</f>
        <v>3.6308478260869602E-2</v>
      </c>
      <c r="KK36" s="41">
        <f>27.1328260869565/(1000)</f>
        <v>2.71328260869565E-2</v>
      </c>
      <c r="KL36" s="41">
        <f t="shared" si="59"/>
        <v>0.13807547942546589</v>
      </c>
      <c r="KM36" s="41">
        <f t="shared" si="60"/>
        <v>0.10395101659182077</v>
      </c>
      <c r="KN36" s="41">
        <f t="shared" si="65"/>
        <v>0.11532583753636913</v>
      </c>
    </row>
    <row r="37" spans="5:300" ht="16">
      <c r="E37" s="41" t="s">
        <v>54</v>
      </c>
      <c r="F37" s="41" t="s">
        <v>94</v>
      </c>
      <c r="G37" s="41">
        <f>14.85</f>
        <v>14.85</v>
      </c>
      <c r="H37" s="41">
        <f>G37/(mo)</f>
        <v>0.48688524590163934</v>
      </c>
      <c r="I37" s="41">
        <v>22</v>
      </c>
      <c r="J37" s="41">
        <f t="shared" si="1"/>
        <v>88</v>
      </c>
      <c r="K37" s="41">
        <f t="shared" si="67"/>
        <v>4.6989999999999997E-2</v>
      </c>
      <c r="L37" s="41">
        <f t="shared" si="67"/>
        <v>4.6989999999999997E-2</v>
      </c>
      <c r="M37" s="41">
        <v>9.8119999999999999E-2</v>
      </c>
      <c r="N37" s="41">
        <v>0.10199</v>
      </c>
      <c r="O37" s="41">
        <v>0.1017</v>
      </c>
      <c r="P37" s="41">
        <v>0.10049</v>
      </c>
      <c r="Q37" s="41">
        <v>9.6379999999999993E-2</v>
      </c>
      <c r="R37" s="41">
        <v>9.5519999999999994E-2</v>
      </c>
      <c r="S37" s="41">
        <v>9.4270000000000007E-2</v>
      </c>
      <c r="U37" s="55" t="s">
        <v>54</v>
      </c>
      <c r="V37" s="41" t="s">
        <v>94</v>
      </c>
      <c r="W37" s="55">
        <f>12.14</f>
        <v>12.14</v>
      </c>
      <c r="X37" s="41">
        <f>W37/(mo)</f>
        <v>0.3980327868852459</v>
      </c>
      <c r="Z37" s="41" t="s">
        <v>54</v>
      </c>
      <c r="AA37" s="41" t="s">
        <v>94</v>
      </c>
      <c r="AB37" s="41">
        <f>17.57</f>
        <v>17.57</v>
      </c>
      <c r="AC37" s="41">
        <f>AB37/(mo)</f>
        <v>0.57606557377049183</v>
      </c>
      <c r="AD37" s="41">
        <v>22</v>
      </c>
      <c r="AE37" s="41">
        <f t="shared" si="2"/>
        <v>88</v>
      </c>
      <c r="AF37" s="41">
        <f t="shared" si="6"/>
        <v>4.6050000000000001E-2</v>
      </c>
      <c r="AG37" s="41">
        <f t="shared" si="6"/>
        <v>4.6050000000000001E-2</v>
      </c>
      <c r="AH37" s="41">
        <v>9.2990000000000003E-2</v>
      </c>
      <c r="AI37" s="41">
        <v>9.6659999999999996E-2</v>
      </c>
      <c r="AJ37" s="41">
        <v>9.6390000000000003E-2</v>
      </c>
      <c r="AK37" s="41">
        <v>9.5240000000000005E-2</v>
      </c>
      <c r="AL37" s="41">
        <v>9.1340000000000005E-2</v>
      </c>
      <c r="AM37" s="41">
        <v>9.0529999999999999E-2</v>
      </c>
      <c r="AN37" s="41">
        <v>8.9340000000000003E-2</v>
      </c>
      <c r="AP37" s="55" t="s">
        <v>54</v>
      </c>
      <c r="AQ37" s="41" t="s">
        <v>94</v>
      </c>
      <c r="AR37" s="55">
        <f>12.93</f>
        <v>12.93</v>
      </c>
      <c r="AS37" s="41">
        <f>AR37/(mo)</f>
        <v>0.42393442622950817</v>
      </c>
      <c r="AU37" s="55" t="s">
        <v>54</v>
      </c>
      <c r="AV37" s="41" t="s">
        <v>94</v>
      </c>
      <c r="AW37" s="55">
        <v>18.940000000000001</v>
      </c>
      <c r="AX37" s="41">
        <f>AW37/(mo)</f>
        <v>0.62098360655737705</v>
      </c>
      <c r="AY37" s="41">
        <v>22</v>
      </c>
      <c r="AZ37" s="41">
        <f t="shared" si="3"/>
        <v>88</v>
      </c>
      <c r="BA37" s="41">
        <v>4.2770000000000002E-2</v>
      </c>
      <c r="BB37" s="41">
        <v>4.2770000000000002E-2</v>
      </c>
      <c r="BC37" s="41">
        <v>8.6760000000000004E-2</v>
      </c>
      <c r="BD37" s="41">
        <v>9.0179999999999996E-2</v>
      </c>
      <c r="BE37" s="41">
        <v>8.9929999999999996E-2</v>
      </c>
      <c r="BF37" s="41">
        <v>8.8859999999999995E-2</v>
      </c>
      <c r="BG37" s="41">
        <v>8.5220000000000004E-2</v>
      </c>
      <c r="BH37" s="41">
        <v>8.4459999999999993E-2</v>
      </c>
      <c r="BI37" s="41">
        <v>8.3349999999999994E-2</v>
      </c>
      <c r="BK37" s="55" t="s">
        <v>54</v>
      </c>
      <c r="BL37" s="41" t="s">
        <v>94</v>
      </c>
      <c r="BM37" s="41">
        <f>19.54</f>
        <v>19.54</v>
      </c>
      <c r="BN37" s="41">
        <f>BM37/(mo)</f>
        <v>0.64065573770491802</v>
      </c>
      <c r="BP37" s="55"/>
      <c r="BT37" s="41">
        <v>22</v>
      </c>
      <c r="BU37" s="41">
        <f t="shared" si="4"/>
        <v>88</v>
      </c>
      <c r="BV37" s="41">
        <v>4.0250000000000001E-2</v>
      </c>
      <c r="BW37" s="41">
        <v>4.0250000000000001E-2</v>
      </c>
      <c r="BX37" s="41">
        <v>8.047E-2</v>
      </c>
      <c r="BY37" s="41">
        <v>8.3650000000000002E-2</v>
      </c>
      <c r="BZ37" s="41">
        <v>8.3409999999999998E-2</v>
      </c>
      <c r="CA37" s="41">
        <v>8.2419999999999993E-2</v>
      </c>
      <c r="CB37" s="41">
        <v>7.9039999999999999E-2</v>
      </c>
      <c r="CC37" s="41">
        <v>7.8340000000000007E-2</v>
      </c>
      <c r="CD37" s="41">
        <v>7.7310000000000004E-2</v>
      </c>
      <c r="CE37" s="41">
        <f t="shared" si="7"/>
        <v>0.11929000000000001</v>
      </c>
      <c r="EA37">
        <v>0.16511999999999999</v>
      </c>
      <c r="EN37" s="45">
        <v>14</v>
      </c>
      <c r="EO37" s="41">
        <f>EN37/$B$1</f>
        <v>56</v>
      </c>
      <c r="EP37" s="41">
        <v>0.11448999999999999</v>
      </c>
      <c r="ES37" s="41">
        <v>14</v>
      </c>
      <c r="ET37" s="41">
        <f>ES37/$B$1</f>
        <v>56</v>
      </c>
      <c r="EU37" s="41">
        <v>0.12801000000000001</v>
      </c>
      <c r="EX37" s="41">
        <v>14</v>
      </c>
      <c r="EY37" s="41">
        <f>EX37/$B$1</f>
        <v>56</v>
      </c>
      <c r="EZ37" s="41">
        <v>0.11693000000000001</v>
      </c>
      <c r="FC37" s="41">
        <v>14</v>
      </c>
      <c r="FD37" s="41">
        <f>FC37/$B$1</f>
        <v>56</v>
      </c>
      <c r="FE37" s="41">
        <f>0.12729+0.0764</f>
        <v>0.20368999999999998</v>
      </c>
      <c r="FN37" s="41">
        <v>21</v>
      </c>
      <c r="FO37" s="41">
        <f t="shared" si="36"/>
        <v>84</v>
      </c>
      <c r="FP37" s="41">
        <f t="shared" si="37"/>
        <v>1.4300000000000003E-3</v>
      </c>
      <c r="FQ37" s="41">
        <v>1.149E-2</v>
      </c>
      <c r="FR37" s="41">
        <f>68.8480830952381/(1000)</f>
        <v>6.88480830952381E-2</v>
      </c>
      <c r="FS37" s="41">
        <f>45.6083062/(1000)</f>
        <v>4.5608306200000004E-2</v>
      </c>
      <c r="FT37" s="41">
        <f>39.6726660869565/(1000)</f>
        <v>3.96726660869565E-2</v>
      </c>
      <c r="FU37" s="41">
        <f>59.3016717619048/(1000)</f>
        <v>5.9301671761904796E-2</v>
      </c>
      <c r="FV37" s="41">
        <f>64.9151680454545/(1000)</f>
        <v>6.4915168045454497E-2</v>
      </c>
      <c r="FW37" s="41">
        <f>65.8085889090909/(1000)</f>
        <v>6.5808588909090901E-2</v>
      </c>
      <c r="FX37" s="41">
        <f>86.4200042380952/(1000)</f>
        <v>8.6420004238095205E-2</v>
      </c>
      <c r="FY37" s="41">
        <f>96.0047109565217/(1000)</f>
        <v>9.6004710956521702E-2</v>
      </c>
      <c r="FZ37" s="41">
        <f>60.4556792272727/(1000)</f>
        <v>6.0455679227272699E-2</v>
      </c>
      <c r="GA37" s="41">
        <f>45.2999353333333/(1000)</f>
        <v>4.5299935333333305E-2</v>
      </c>
      <c r="GB37" s="41">
        <f>38.9319883636364/(1000)</f>
        <v>3.8931988363636399E-2</v>
      </c>
      <c r="GC37" s="41">
        <f>32.5543860434783/(1000)</f>
        <v>3.2554386043478302E-2</v>
      </c>
      <c r="GD37" s="41">
        <f t="shared" si="38"/>
        <v>9.0092245832745124E-2</v>
      </c>
      <c r="GE37" s="41">
        <f t="shared" si="39"/>
        <v>6.2311525616250245E-2</v>
      </c>
      <c r="GF37" s="41">
        <f t="shared" si="40"/>
        <v>7.1571765688415195E-2</v>
      </c>
      <c r="GT37" s="41">
        <v>21</v>
      </c>
      <c r="GU37" s="41">
        <f t="shared" si="41"/>
        <v>84</v>
      </c>
      <c r="GV37" s="55">
        <f t="shared" si="42"/>
        <v>4.2889999999999998E-2</v>
      </c>
      <c r="GW37" s="55">
        <f t="shared" si="43"/>
        <v>1.2379268000000001E-2</v>
      </c>
      <c r="GX37" s="41">
        <f>138.990444444444/(1000)</f>
        <v>0.138990444444444</v>
      </c>
      <c r="GY37" s="41">
        <f>91.7109090909091/(1000)</f>
        <v>9.1710909090909093E-2</v>
      </c>
      <c r="GZ37" s="41">
        <f>56.5903636363636/(1000)</f>
        <v>5.6590363636363598E-2</v>
      </c>
      <c r="HA37" s="41">
        <f>72.3297826086957/(1000)</f>
        <v>7.23297826086957E-2</v>
      </c>
      <c r="HB37" s="41">
        <f>83.1825/(1000)</f>
        <v>8.3182500000000006E-2</v>
      </c>
      <c r="HC37" s="41">
        <f>80.6697916666667/(1000)</f>
        <v>8.0669791666666699E-2</v>
      </c>
      <c r="HD37" s="41">
        <f>101.96862745098/(1000)</f>
        <v>0.10196862745098</v>
      </c>
      <c r="HE37" s="41">
        <f>111.944042553191/(1000)</f>
        <v>0.111944042553191</v>
      </c>
      <c r="HF37" s="41">
        <f>82.1725925925926/(1000)</f>
        <v>8.2172592592592589E-2</v>
      </c>
      <c r="HG37" s="41">
        <f>57.5033333333333/(1000)</f>
        <v>5.7503333333333302E-2</v>
      </c>
      <c r="HH37" s="41">
        <f>54.3056862745098/(1000)</f>
        <v>5.4305686274509803E-2</v>
      </c>
      <c r="HI37" s="41">
        <f>47.3288235294118/(1000)</f>
        <v>4.7328823529411798E-2</v>
      </c>
      <c r="HJ37" s="41">
        <f t="shared" si="44"/>
        <v>0.14945803156585757</v>
      </c>
      <c r="HK37" s="41">
        <f t="shared" si="45"/>
        <v>0.13051199836470842</v>
      </c>
      <c r="HL37" s="41">
        <f t="shared" si="46"/>
        <v>0.13682734276509145</v>
      </c>
      <c r="HN37" s="45">
        <v>22</v>
      </c>
      <c r="HO37" s="41">
        <f t="shared" si="13"/>
        <v>88</v>
      </c>
      <c r="HP37" s="55">
        <f t="shared" si="14"/>
        <v>7.3499999999999998E-4</v>
      </c>
      <c r="HQ37" s="55">
        <f t="shared" si="15"/>
        <v>7.2500000000000004E-3</v>
      </c>
      <c r="HR37" s="41">
        <f>28.3834523809524/(1000)</f>
        <v>2.8383452380952398E-2</v>
      </c>
      <c r="HS37" s="41">
        <f>33.929375/(1000)</f>
        <v>3.3929374999999998E-2</v>
      </c>
      <c r="HT37" s="41">
        <f>41.0141304347826/(1000)</f>
        <v>4.1014130434782602E-2</v>
      </c>
      <c r="HU37" s="41">
        <f>53.8789285714286/(1000)</f>
        <v>5.3878928571428605E-2</v>
      </c>
      <c r="HV37" s="41">
        <f>71.7035227272727/(1000)</f>
        <v>7.1703522727272692E-2</v>
      </c>
      <c r="HW37" s="41">
        <f>75.6751136363636/(1000)</f>
        <v>7.5675113636363603E-2</v>
      </c>
      <c r="HX37" s="41">
        <f>65.7614285714286/(1000)</f>
        <v>6.5761428571428596E-2</v>
      </c>
      <c r="HY37" s="41">
        <f>78.0184782608696/(1000)</f>
        <v>7.8018478260869606E-2</v>
      </c>
      <c r="HZ37" s="41">
        <f>60.8205681818182/(1000)</f>
        <v>6.0820568181818205E-2</v>
      </c>
      <c r="IA37" s="41">
        <f>44.7347619047619/(1000)</f>
        <v>4.4734761904761902E-2</v>
      </c>
      <c r="IB37" s="41">
        <f>41.7726086956522/(1000)</f>
        <v>4.1772608695652205E-2</v>
      </c>
      <c r="IC37" s="41">
        <f>31.9316304347826/(1000)</f>
        <v>3.1931630434782601E-2</v>
      </c>
      <c r="ID37" s="41">
        <f t="shared" si="16"/>
        <v>9.557112145327501E-2</v>
      </c>
      <c r="IE37" s="41">
        <f t="shared" si="17"/>
        <v>6.2258189085880149E-2</v>
      </c>
      <c r="IF37" s="41">
        <f t="shared" si="18"/>
        <v>7.3362499875011783E-2</v>
      </c>
      <c r="IH37" s="45">
        <v>22</v>
      </c>
      <c r="II37" s="41">
        <f t="shared" si="19"/>
        <v>88</v>
      </c>
      <c r="IJ37" s="55">
        <f t="shared" si="20"/>
        <v>6.3699999999999998E-4</v>
      </c>
      <c r="IK37" s="55">
        <f t="shared" si="21"/>
        <v>7.2500000000000004E-3</v>
      </c>
      <c r="IL37" s="41">
        <f>28.3714285714286/(1000)</f>
        <v>2.83714285714286E-2</v>
      </c>
      <c r="IM37" s="41">
        <f>31.873125/(1000)</f>
        <v>3.1873125000000002E-2</v>
      </c>
      <c r="IN37" s="41">
        <f>39.0648913043478/(1000)</f>
        <v>3.9064891304347801E-2</v>
      </c>
      <c r="IO37" s="41">
        <f>47.8319047619048/(1000)</f>
        <v>4.7831904761904805E-2</v>
      </c>
      <c r="IP37" s="41">
        <f>66.4039772727273/(1000)</f>
        <v>6.6403977272727302E-2</v>
      </c>
      <c r="IQ37" s="41">
        <f>68.1257954545454/(1000)</f>
        <v>6.812579545454539E-2</v>
      </c>
      <c r="IR37" s="41">
        <f>66.517380952381/(1000)</f>
        <v>6.6517380952381008E-2</v>
      </c>
      <c r="IS37" s="41">
        <f>78.4186956521739/(1000)</f>
        <v>7.8418695652173895E-2</v>
      </c>
      <c r="IT37" s="41">
        <f>59.7761363636364/(1000)</f>
        <v>5.9776136363636399E-2</v>
      </c>
      <c r="IU37" s="41">
        <f>42.2403571428571/(1000)</f>
        <v>4.22403571428571E-2</v>
      </c>
      <c r="IV37" s="41">
        <f>37.0352173913044/(1000)</f>
        <v>3.7035217391304401E-2</v>
      </c>
      <c r="IW37" s="41">
        <f>29.1601086956522/(1000)</f>
        <v>2.9160108695652203E-2</v>
      </c>
      <c r="IX37" s="41">
        <f t="shared" si="49"/>
        <v>9.314887763210522E-2</v>
      </c>
      <c r="IY37" s="41">
        <f t="shared" si="23"/>
        <v>5.8196532834409724E-2</v>
      </c>
      <c r="IZ37" s="41">
        <f t="shared" si="63"/>
        <v>6.9847314433641561E-2</v>
      </c>
      <c r="JB37" s="45">
        <v>22</v>
      </c>
      <c r="JC37" s="41">
        <f t="shared" si="25"/>
        <v>88</v>
      </c>
      <c r="JD37" s="55">
        <v>4.1340000000000002E-2</v>
      </c>
      <c r="JE37" s="55">
        <f t="shared" si="26"/>
        <v>7.2500000000000004E-3</v>
      </c>
      <c r="JF37" s="41">
        <f>36.5773809523809/(1000)</f>
        <v>3.6577380952380896E-2</v>
      </c>
      <c r="JG37" s="41">
        <f>28.26375/(1000)</f>
        <v>2.8263750000000001E-2</v>
      </c>
      <c r="JH37" s="41">
        <f>39.9063043478261/(1000)</f>
        <v>3.9906304347826098E-2</v>
      </c>
      <c r="JI37" s="41">
        <f>48.0135714285714/(1000)</f>
        <v>4.8013571428571405E-2</v>
      </c>
      <c r="JJ37" s="41">
        <f>67.5136363636364/(1000)</f>
        <v>6.7513636363636401E-2</v>
      </c>
      <c r="JK37" s="41">
        <f>68.1818181818182/(1000)</f>
        <v>6.8181818181818205E-2</v>
      </c>
      <c r="JL37" s="41">
        <f>67.9763095238095/(1000)</f>
        <v>6.7976309523809508E-2</v>
      </c>
      <c r="JM37" s="41">
        <f>78.8145652173913/(1000)</f>
        <v>7.8814565217391302E-2</v>
      </c>
      <c r="JN37" s="41">
        <f>61.7613636363636/(1000)</f>
        <v>6.17613636363636E-2</v>
      </c>
      <c r="JO37" s="41">
        <f>43.9959523809524/(1000)</f>
        <v>4.3995952380952399E-2</v>
      </c>
      <c r="JP37" s="41">
        <f>38.9977173913043/(1000)</f>
        <v>3.8997717391304296E-2</v>
      </c>
      <c r="JQ37" s="41">
        <f>28.2475/(1000)</f>
        <v>2.8247499999999998E-2</v>
      </c>
      <c r="JR37" s="41">
        <f t="shared" si="56"/>
        <v>0.13506939267480705</v>
      </c>
      <c r="JS37" s="41">
        <f t="shared" si="57"/>
        <v>0.10038934576010491</v>
      </c>
      <c r="JT37" s="41">
        <f t="shared" si="64"/>
        <v>0.11194936139833897</v>
      </c>
      <c r="JV37" s="41">
        <v>22</v>
      </c>
      <c r="JW37" s="41">
        <f t="shared" si="30"/>
        <v>88</v>
      </c>
      <c r="JX37" s="55">
        <f t="shared" si="31"/>
        <v>3.5310000000000001E-2</v>
      </c>
      <c r="JY37" s="55">
        <f t="shared" si="32"/>
        <v>7.2500000000000004E-3</v>
      </c>
      <c r="JZ37" s="41">
        <f>36.5773809523809/(1000)</f>
        <v>3.6577380952380896E-2</v>
      </c>
      <c r="KA37" s="41">
        <f>28.26375/(1000)</f>
        <v>2.8263750000000001E-2</v>
      </c>
      <c r="KB37" s="41">
        <f>39.9063043478261/(1000)</f>
        <v>3.9906304347826098E-2</v>
      </c>
      <c r="KC37" s="41">
        <f>48.0135714285714/(1000)</f>
        <v>4.8013571428571405E-2</v>
      </c>
      <c r="KD37" s="41">
        <f>67.5136363636364/(1000)</f>
        <v>6.7513636363636401E-2</v>
      </c>
      <c r="KE37" s="41">
        <f>68.1818181818182/(1000)</f>
        <v>6.8181818181818205E-2</v>
      </c>
      <c r="KF37" s="41">
        <f>67.9763095238095/(1000)</f>
        <v>6.7976309523809508E-2</v>
      </c>
      <c r="KG37" s="41">
        <f>78.8145652173913/(1000)</f>
        <v>7.8814565217391302E-2</v>
      </c>
      <c r="KH37" s="41">
        <f>61.7613636363636/(1000)</f>
        <v>6.17613636363636E-2</v>
      </c>
      <c r="KI37" s="41">
        <f>43.9959523809524/(1000)</f>
        <v>4.3995952380952399E-2</v>
      </c>
      <c r="KJ37" s="41">
        <f>38.9977173913043/(1000)</f>
        <v>3.8997717391304296E-2</v>
      </c>
      <c r="KK37" s="41">
        <f>28.2475/(1000)</f>
        <v>2.8247499999999998E-2</v>
      </c>
      <c r="KL37" s="41">
        <f t="shared" si="59"/>
        <v>0.12903939267480707</v>
      </c>
      <c r="KM37" s="41">
        <f t="shared" si="60"/>
        <v>9.4359345760104921E-2</v>
      </c>
      <c r="KN37" s="41">
        <f t="shared" si="65"/>
        <v>0.10591936139833896</v>
      </c>
    </row>
    <row r="38" spans="5:300" ht="16">
      <c r="I38" s="41">
        <v>23</v>
      </c>
      <c r="J38" s="41">
        <f t="shared" si="1"/>
        <v>92</v>
      </c>
      <c r="K38" s="41">
        <f t="shared" si="67"/>
        <v>4.6989999999999997E-2</v>
      </c>
      <c r="L38" s="41">
        <f t="shared" si="67"/>
        <v>4.6989999999999997E-2</v>
      </c>
      <c r="M38" s="41">
        <v>8.5589999999999999E-2</v>
      </c>
      <c r="N38" s="41">
        <v>8.7510000000000004E-2</v>
      </c>
      <c r="O38" s="41">
        <v>8.4339999999999998E-2</v>
      </c>
      <c r="P38" s="41">
        <v>8.9359999999999995E-2</v>
      </c>
      <c r="Q38" s="41">
        <v>8.412E-2</v>
      </c>
      <c r="R38" s="41">
        <v>8.3280000000000007E-2</v>
      </c>
      <c r="S38" s="41">
        <v>8.251E-2</v>
      </c>
      <c r="AD38" s="41">
        <v>23</v>
      </c>
      <c r="AE38" s="41">
        <f t="shared" si="2"/>
        <v>92</v>
      </c>
      <c r="AF38" s="41">
        <f t="shared" si="6"/>
        <v>4.6050000000000001E-2</v>
      </c>
      <c r="AG38" s="41">
        <f t="shared" si="6"/>
        <v>4.6050000000000001E-2</v>
      </c>
      <c r="AH38" s="41">
        <v>8.1119999999999998E-2</v>
      </c>
      <c r="AI38" s="41">
        <v>8.294E-2</v>
      </c>
      <c r="AJ38" s="41">
        <v>7.9930000000000001E-2</v>
      </c>
      <c r="AK38" s="41">
        <v>8.4690000000000001E-2</v>
      </c>
      <c r="AL38" s="41">
        <v>7.9719999999999999E-2</v>
      </c>
      <c r="AM38" s="41">
        <v>7.893E-2</v>
      </c>
      <c r="AN38" s="41">
        <v>7.8200000000000006E-2</v>
      </c>
      <c r="AY38" s="41">
        <v>23</v>
      </c>
      <c r="AZ38" s="41">
        <f t="shared" si="3"/>
        <v>92</v>
      </c>
      <c r="BA38" s="41">
        <v>4.2770000000000002E-2</v>
      </c>
      <c r="BB38" s="41">
        <v>4.2770000000000002E-2</v>
      </c>
      <c r="BC38" s="41">
        <v>7.5689999999999993E-2</v>
      </c>
      <c r="BD38" s="41">
        <v>7.7380000000000004E-2</v>
      </c>
      <c r="BE38" s="41">
        <v>7.4579999999999994E-2</v>
      </c>
      <c r="BF38" s="41">
        <v>7.9009999999999997E-2</v>
      </c>
      <c r="BG38" s="41">
        <v>7.4380000000000002E-2</v>
      </c>
      <c r="BH38" s="41">
        <v>7.3639999999999997E-2</v>
      </c>
      <c r="BI38" s="41">
        <v>7.2959999999999997E-2</v>
      </c>
      <c r="BT38" s="41">
        <v>23</v>
      </c>
      <c r="BU38" s="41">
        <f t="shared" si="4"/>
        <v>92</v>
      </c>
      <c r="BV38" s="41">
        <v>4.0250000000000001E-2</v>
      </c>
      <c r="BW38" s="41">
        <v>4.0250000000000001E-2</v>
      </c>
      <c r="BX38" s="41">
        <v>7.0199999999999999E-2</v>
      </c>
      <c r="BY38" s="41">
        <v>7.177E-2</v>
      </c>
      <c r="BZ38" s="41">
        <v>6.9169999999999995E-2</v>
      </c>
      <c r="CA38" s="41">
        <v>7.3289999999999994E-2</v>
      </c>
      <c r="CB38" s="41">
        <v>6.8989999999999996E-2</v>
      </c>
      <c r="CC38" s="41">
        <v>6.83E-2</v>
      </c>
      <c r="CD38" s="41">
        <v>6.7669999999999994E-2</v>
      </c>
      <c r="CE38" s="41">
        <f t="shared" si="7"/>
        <v>0.10924</v>
      </c>
      <c r="EA38">
        <v>0.16511999999999999</v>
      </c>
      <c r="EN38" s="45">
        <v>16</v>
      </c>
      <c r="EO38" s="41">
        <f>EN38/$B$1</f>
        <v>64</v>
      </c>
      <c r="EP38" s="41">
        <v>0.23960999999999999</v>
      </c>
      <c r="ES38" s="41">
        <v>16</v>
      </c>
      <c r="ET38" s="41">
        <f>ES38/$B$1</f>
        <v>64</v>
      </c>
      <c r="EU38" s="41">
        <v>0.21992999999999999</v>
      </c>
      <c r="EX38" s="41">
        <v>16</v>
      </c>
      <c r="EY38" s="41">
        <f>EX38/$B$1</f>
        <v>64</v>
      </c>
      <c r="EZ38" s="41">
        <v>0.20016999999999999</v>
      </c>
      <c r="FC38" s="41">
        <v>16</v>
      </c>
      <c r="FD38" s="41">
        <f>FC38/$B$1</f>
        <v>64</v>
      </c>
      <c r="FE38" s="41">
        <f>0.12729+0.13581</f>
        <v>0.2631</v>
      </c>
      <c r="FN38" s="41">
        <v>22</v>
      </c>
      <c r="FO38" s="41">
        <f t="shared" si="36"/>
        <v>88</v>
      </c>
      <c r="FP38" s="41">
        <f t="shared" si="37"/>
        <v>1.4300000000000003E-3</v>
      </c>
      <c r="FQ38" s="41">
        <v>1.149E-2</v>
      </c>
      <c r="FR38" s="41">
        <f>64.2446909047619/(1000)</f>
        <v>6.4244690904761897E-2</v>
      </c>
      <c r="FS38" s="41">
        <f>45.7982653/(1000)</f>
        <v>4.5798265299999995E-2</v>
      </c>
      <c r="FT38" s="41">
        <f>37.6863303478261/(1000)</f>
        <v>3.7686330347826098E-2</v>
      </c>
      <c r="FU38" s="41">
        <f>55.0148703333333/(1000)</f>
        <v>5.5014870333333299E-2</v>
      </c>
      <c r="FV38" s="41">
        <f>59.4802781818182/(1000)</f>
        <v>5.9480278181818197E-2</v>
      </c>
      <c r="FW38" s="41">
        <f>63.4193877272727/(1000)</f>
        <v>6.3419387727272694E-2</v>
      </c>
      <c r="FX38" s="41">
        <f>79.9843436190476/(1000)</f>
        <v>7.9984343619047604E-2</v>
      </c>
      <c r="FY38" s="41">
        <f>86.0355453913044/(1000)</f>
        <v>8.6035545391304397E-2</v>
      </c>
      <c r="FZ38" s="41">
        <f>59.7236635454545/(1000)</f>
        <v>5.9723663545454497E-2</v>
      </c>
      <c r="GA38" s="41">
        <f>42.1464227142857/(1000)</f>
        <v>4.2146422714285696E-2</v>
      </c>
      <c r="GB38" s="41">
        <f>39.2994786818182/(1000)</f>
        <v>3.9299478681818198E-2</v>
      </c>
      <c r="GC38" s="41">
        <f>32.0750087391304/(1000)</f>
        <v>3.2075008739130405E-2</v>
      </c>
      <c r="GD38" s="41">
        <f t="shared" si="38"/>
        <v>8.5210735070769802E-2</v>
      </c>
      <c r="GE38" s="41">
        <f t="shared" si="39"/>
        <v>5.9888168150371728E-2</v>
      </c>
      <c r="GF38" s="41">
        <f t="shared" si="40"/>
        <v>6.8329023790504415E-2</v>
      </c>
      <c r="GT38" s="41">
        <v>22</v>
      </c>
      <c r="GU38" s="41">
        <f t="shared" si="41"/>
        <v>88</v>
      </c>
      <c r="GV38" s="55">
        <f t="shared" si="42"/>
        <v>4.2889999999999998E-2</v>
      </c>
      <c r="GW38" s="55">
        <f t="shared" si="43"/>
        <v>1.2379268000000001E-2</v>
      </c>
      <c r="GX38" s="41">
        <f>128.779333333333/(1000)</f>
        <v>0.128779333333333</v>
      </c>
      <c r="GY38" s="41">
        <f>83.2161363636364/(1000)</f>
        <v>8.3216136363636395E-2</v>
      </c>
      <c r="GZ38" s="41">
        <f>53.9981818181818/(1000)</f>
        <v>5.3998181818181799E-2</v>
      </c>
      <c r="HA38" s="41">
        <f>63.7304347826087/(1000)</f>
        <v>6.3730434782608703E-2</v>
      </c>
      <c r="HB38" s="41">
        <f>74.1271153846154/(1000)</f>
        <v>7.4127115384615389E-2</v>
      </c>
      <c r="HC38" s="41">
        <f>73.6697916666667/(1000)</f>
        <v>7.3669791666666692E-2</v>
      </c>
      <c r="HD38" s="41">
        <f>94.2054901960784/(1000)</f>
        <v>9.4205490196078406E-2</v>
      </c>
      <c r="HE38" s="41">
        <f>102.575744680851/(1000)</f>
        <v>0.102575744680851</v>
      </c>
      <c r="HF38" s="41">
        <f>75.3577777777778/(1000)</f>
        <v>7.5357777777777801E-2</v>
      </c>
      <c r="HG38" s="41">
        <f>53.9364444444444/(1000)</f>
        <v>5.3936444444444398E-2</v>
      </c>
      <c r="HH38" s="41">
        <f>50.9194117647059/(1000)</f>
        <v>5.0919411764705901E-2</v>
      </c>
      <c r="HI38" s="41">
        <f>45.3674509803922/(1000)</f>
        <v>4.5367450980392202E-2</v>
      </c>
      <c r="HJ38" s="41">
        <f t="shared" si="44"/>
        <v>0.14172146908034347</v>
      </c>
      <c r="HK38" s="41">
        <f>SUM(GV38:GW38)+AVERAGE(GX38:HB38,HG38:HI38)</f>
        <v>0.12452858160898972</v>
      </c>
      <c r="HL38" s="41">
        <f>SUM(GV38:GW38)+AVERAGE(GX38:HI38)</f>
        <v>0.13025954409944096</v>
      </c>
      <c r="HN38" s="45">
        <v>23</v>
      </c>
      <c r="HO38" s="41">
        <f t="shared" si="13"/>
        <v>92</v>
      </c>
      <c r="HP38" s="55">
        <f t="shared" si="14"/>
        <v>7.3499999999999998E-4</v>
      </c>
      <c r="HQ38" s="55">
        <f t="shared" si="15"/>
        <v>7.2500000000000004E-3</v>
      </c>
      <c r="HR38" s="41">
        <f>26.0714285714286/(1000)</f>
        <v>2.6071428571428603E-2</v>
      </c>
      <c r="HS38" s="41">
        <f>81.447625/(1000)</f>
        <v>8.1447624999999996E-2</v>
      </c>
      <c r="HT38" s="41">
        <f>37.6785869565217/(1000)</f>
        <v>3.7678586956521695E-2</v>
      </c>
      <c r="HU38" s="41">
        <f>46.1365476190476/(1000)</f>
        <v>4.6136547619047598E-2</v>
      </c>
      <c r="HV38" s="41">
        <f>63.0504545454545/(1000)</f>
        <v>6.3050454545454493E-2</v>
      </c>
      <c r="HW38" s="41">
        <f>70.6121590909091/(1000)</f>
        <v>7.0612159090909107E-2</v>
      </c>
      <c r="HX38" s="41">
        <f>59.0079761904762/(1000)</f>
        <v>5.9007976190476201E-2</v>
      </c>
      <c r="HY38" s="41">
        <f>72.4209782608696/(1000)</f>
        <v>7.2420978260869601E-2</v>
      </c>
      <c r="HZ38" s="41">
        <f>54.6879545454545/(1000)</f>
        <v>5.4687954545454505E-2</v>
      </c>
      <c r="IA38" s="41">
        <f>40.6004761904762/(1000)</f>
        <v>4.0600476190476201E-2</v>
      </c>
      <c r="IB38" s="41">
        <f>34.933152173913/(1000)</f>
        <v>3.4933152173913004E-2</v>
      </c>
      <c r="IC38" s="41">
        <f>28.640652173913/(1000)</f>
        <v>2.8640652173913001E-2</v>
      </c>
      <c r="ID38" s="41">
        <f>SUM(HP38:HQ38)+AVERAGE(HW38:HZ38)*125%</f>
        <v>8.8212833777409197E-2</v>
      </c>
      <c r="IE38" s="41">
        <f>SUM(HP38:HQ38)+AVERAGE(HR38:HV38,IA38:IC38)*125%</f>
        <v>6.4009831754805416E-2</v>
      </c>
      <c r="IF38" s="41">
        <f>SUM(HP38:HQ38)+AVERAGE(HR38:IC38)*125%</f>
        <v>7.2077499095673347E-2</v>
      </c>
      <c r="IH38" s="45">
        <v>23</v>
      </c>
      <c r="II38" s="41">
        <f t="shared" si="19"/>
        <v>92</v>
      </c>
      <c r="IJ38" s="55">
        <f t="shared" si="20"/>
        <v>6.3699999999999998E-4</v>
      </c>
      <c r="IK38" s="55">
        <f t="shared" si="21"/>
        <v>7.2500000000000004E-3</v>
      </c>
      <c r="IL38" s="41">
        <f>26.8639285714286/(1000)</f>
        <v>2.6863928571428598E-2</v>
      </c>
      <c r="IM38" s="41">
        <f>79.384625/(1000)</f>
        <v>7.9384625E-2</v>
      </c>
      <c r="IN38" s="41">
        <f>33.6048913043478/(1000)</f>
        <v>3.3604891304347802E-2</v>
      </c>
      <c r="IO38" s="41">
        <f>41.0198809523809/(1000)</f>
        <v>4.1019880952380905E-2</v>
      </c>
      <c r="IP38" s="41">
        <f>60.9682954545455/(1000)</f>
        <v>6.0968295454545497E-2</v>
      </c>
      <c r="IQ38" s="41">
        <f>60.3467045454545/(1000)</f>
        <v>6.0346704545454502E-2</v>
      </c>
      <c r="IR38" s="41">
        <f>59.4539285714286/(1000)</f>
        <v>5.9453928571428595E-2</v>
      </c>
      <c r="IS38" s="41">
        <f>72.5372826086957/(1000)</f>
        <v>7.25372826086957E-2</v>
      </c>
      <c r="IT38" s="41">
        <f>53.4756818181818/(1000)</f>
        <v>5.3475681818181797E-2</v>
      </c>
      <c r="IU38" s="41">
        <f>38.2559523809524/(1000)</f>
        <v>3.8255952380952404E-2</v>
      </c>
      <c r="IV38" s="41">
        <f>32.3910869565217/(1000)</f>
        <v>3.2391086956521695E-2</v>
      </c>
      <c r="IW38" s="41">
        <f>26.3591304347826/(1000)</f>
        <v>2.63591304347826E-2</v>
      </c>
      <c r="IX38" s="41">
        <f>SUM(IJ38:IK38)+AVERAGE(IQ38:IT38)*125%</f>
        <v>8.4703749232425185E-2</v>
      </c>
      <c r="IY38" s="41">
        <f>SUM(IJ38:IK38)+AVERAGE(IL38:IP38,IU38:IW38)*125%</f>
        <v>6.0831967352337417E-2</v>
      </c>
      <c r="IZ38" s="41">
        <f>SUM(IJ38:IK38)+AVERAGE(IL38:IW38)*125%</f>
        <v>6.8789227979033335E-2</v>
      </c>
      <c r="JB38" s="45">
        <v>23</v>
      </c>
      <c r="JC38" s="41">
        <f t="shared" si="25"/>
        <v>92</v>
      </c>
      <c r="JD38" s="55">
        <v>4.1340000000000002E-2</v>
      </c>
      <c r="JE38" s="55">
        <f t="shared" si="26"/>
        <v>7.2500000000000004E-3</v>
      </c>
      <c r="JF38" s="41">
        <f>28.2557142857143/(1000)</f>
        <v>2.8255714285714301E-2</v>
      </c>
      <c r="JG38" s="41">
        <f>75.848625/(1000)</f>
        <v>7.5848625000000003E-2</v>
      </c>
      <c r="JH38" s="41">
        <f>32.4297826086956/(1000)</f>
        <v>3.2429782608695598E-2</v>
      </c>
      <c r="JI38" s="41">
        <f>40.3183333333333/(1000)</f>
        <v>4.0318333333333296E-2</v>
      </c>
      <c r="JJ38" s="41">
        <f>62.1951136363636/(1000)</f>
        <v>6.2195113636363604E-2</v>
      </c>
      <c r="JK38" s="41">
        <f>59.8022727272727/(1000)</f>
        <v>5.9802272727272704E-2</v>
      </c>
      <c r="JL38" s="41">
        <f>59.8814285714286/(1000)</f>
        <v>5.9881428571428599E-2</v>
      </c>
      <c r="JM38" s="41">
        <f>72.7105434782609/(1000)</f>
        <v>7.2710543478260906E-2</v>
      </c>
      <c r="JN38" s="41">
        <f>55.64125/(1000)</f>
        <v>5.5641249999999996E-2</v>
      </c>
      <c r="JO38" s="41">
        <f>39.8584523809524/(1000)</f>
        <v>3.9858452380952397E-2</v>
      </c>
      <c r="JP38" s="41">
        <f>33.4677173913043/(1000)</f>
        <v>3.3467717391304296E-2</v>
      </c>
      <c r="JQ38" s="41">
        <f>23.9629347826087/(1000)</f>
        <v>2.3962934782608698E-2</v>
      </c>
      <c r="JR38" s="41">
        <f>SUM(JD38:JE38)+AVERAGE(JK38:JN38)*125%</f>
        <v>0.12610109211780068</v>
      </c>
      <c r="JS38" s="41">
        <f>SUM(JD38:JE38)+AVERAGE(JF38:JJ38,JO38:JQ38)*125%</f>
        <v>0.10114260522171439</v>
      </c>
      <c r="JT38" s="41">
        <f>SUM(JD38:JE38)+AVERAGE(JF38:JQ38)*125%</f>
        <v>0.10946210085374315</v>
      </c>
      <c r="JV38" s="41">
        <v>23</v>
      </c>
      <c r="JW38" s="41">
        <f t="shared" si="30"/>
        <v>92</v>
      </c>
      <c r="JX38" s="55">
        <f t="shared" si="31"/>
        <v>3.5310000000000001E-2</v>
      </c>
      <c r="JY38" s="55">
        <f t="shared" si="32"/>
        <v>7.2500000000000004E-3</v>
      </c>
      <c r="JZ38" s="41">
        <f>28.2557142857143/(1000)</f>
        <v>2.8255714285714301E-2</v>
      </c>
      <c r="KA38" s="41">
        <f>75.848625/(1000)</f>
        <v>7.5848625000000003E-2</v>
      </c>
      <c r="KB38" s="41">
        <f>32.4297826086956/(1000)</f>
        <v>3.2429782608695598E-2</v>
      </c>
      <c r="KC38" s="41">
        <f>40.3183333333333/(1000)</f>
        <v>4.0318333333333296E-2</v>
      </c>
      <c r="KD38" s="41">
        <f>62.1951136363636/(1000)</f>
        <v>6.2195113636363604E-2</v>
      </c>
      <c r="KE38" s="41">
        <f>59.8022727272727/(1000)</f>
        <v>5.9802272727272704E-2</v>
      </c>
      <c r="KF38" s="41">
        <f>59.8814285714286/(1000)</f>
        <v>5.9881428571428599E-2</v>
      </c>
      <c r="KG38" s="41">
        <f>72.7105434782609/(1000)</f>
        <v>7.2710543478260906E-2</v>
      </c>
      <c r="KH38" s="41">
        <f>55.64125/(1000)</f>
        <v>5.5641249999999996E-2</v>
      </c>
      <c r="KI38" s="41">
        <f>39.8584523809524/(1000)</f>
        <v>3.9858452380952397E-2</v>
      </c>
      <c r="KJ38" s="41">
        <f>33.4677173913043/(1000)</f>
        <v>3.3467717391304296E-2</v>
      </c>
      <c r="KK38" s="41">
        <f>23.9629347826087/(1000)</f>
        <v>2.3962934782608698E-2</v>
      </c>
      <c r="KL38" s="41">
        <f>SUM(JX38:JY38)+AVERAGE(KE38:KH38)*125%</f>
        <v>0.12007109211780069</v>
      </c>
      <c r="KM38" s="41">
        <f>SUM(JX38:JY38)+AVERAGE(JZ38:KD38,KI38:KK38)*125%</f>
        <v>9.5112605221714386E-2</v>
      </c>
      <c r="KN38" s="41">
        <f>SUM(JX38:JY38)+AVERAGE(JZ38:KK38)*125%</f>
        <v>0.10343210085374316</v>
      </c>
    </row>
    <row r="39" spans="5:300" ht="16">
      <c r="I39" s="41" t="s">
        <v>54</v>
      </c>
      <c r="J39" s="41" t="s">
        <v>98</v>
      </c>
      <c r="K39" s="41" t="s">
        <v>55</v>
      </c>
      <c r="L39" s="41">
        <f>14.85+4.73</f>
        <v>19.579999999999998</v>
      </c>
      <c r="M39" s="41">
        <f>L39/mo</f>
        <v>0.64196721311475402</v>
      </c>
      <c r="AD39" s="41" t="s">
        <v>54</v>
      </c>
      <c r="AE39" s="41" t="s">
        <v>98</v>
      </c>
      <c r="AF39" s="41" t="s">
        <v>55</v>
      </c>
      <c r="AG39" s="41">
        <f>17.57+15.5</f>
        <v>33.07</v>
      </c>
      <c r="AH39" s="41">
        <f>AG39/mo</f>
        <v>1.0842622950819671</v>
      </c>
      <c r="AY39" s="41" t="s">
        <v>54</v>
      </c>
      <c r="AZ39" s="41" t="s">
        <v>98</v>
      </c>
      <c r="BA39" s="41" t="s">
        <v>55</v>
      </c>
      <c r="BB39" s="41">
        <f>18.94+16.14</f>
        <v>35.08</v>
      </c>
      <c r="BC39" s="41">
        <f>BB39/mo</f>
        <v>1.1501639344262296</v>
      </c>
      <c r="BT39" s="41" t="s">
        <v>54</v>
      </c>
      <c r="BU39" s="41" t="s">
        <v>98</v>
      </c>
      <c r="BV39" s="41" t="s">
        <v>55</v>
      </c>
      <c r="BW39" s="41">
        <f>19.54+15.84</f>
        <v>35.379999999999995</v>
      </c>
      <c r="BX39" s="41">
        <f>BW39/mo</f>
        <v>1.1599999999999999</v>
      </c>
      <c r="EA39">
        <v>0.16511999999999999</v>
      </c>
      <c r="EN39" s="45">
        <v>21</v>
      </c>
      <c r="EO39" s="41">
        <f>EN39/$B$1</f>
        <v>84</v>
      </c>
      <c r="EP39" s="41">
        <v>0.11448999999999999</v>
      </c>
      <c r="ES39" s="41">
        <v>21</v>
      </c>
      <c r="ET39" s="41">
        <f>ES39/$B$1</f>
        <v>84</v>
      </c>
      <c r="EU39" s="41">
        <v>0.12801000000000001</v>
      </c>
      <c r="EX39" s="41">
        <v>21</v>
      </c>
      <c r="EY39" s="41">
        <f>EX39/$B$1</f>
        <v>84</v>
      </c>
      <c r="EZ39" s="41">
        <v>0.11693000000000001</v>
      </c>
      <c r="FC39" s="41">
        <v>21</v>
      </c>
      <c r="FD39" s="41">
        <f>FC39/$B$1</f>
        <v>84</v>
      </c>
      <c r="FE39" s="41">
        <f>0.12729+0.0764</f>
        <v>0.20368999999999998</v>
      </c>
      <c r="FN39" s="41">
        <v>23</v>
      </c>
      <c r="FO39" s="41">
        <f t="shared" si="36"/>
        <v>92</v>
      </c>
      <c r="FP39" s="41">
        <f t="shared" si="37"/>
        <v>1.4300000000000003E-3</v>
      </c>
      <c r="FQ39" s="41">
        <v>1.149E-2</v>
      </c>
      <c r="FR39" s="41">
        <f>59.8517336666667/(1000)</f>
        <v>5.9851733666666705E-2</v>
      </c>
      <c r="FS39" s="41">
        <f>42.78730465/(1000)</f>
        <v>4.2787304650000003E-2</v>
      </c>
      <c r="FT39" s="41">
        <f>36.1584988695652/(1000)</f>
        <v>3.6158498869565202E-2</v>
      </c>
      <c r="FU39" s="41">
        <f>52.5030040952381/(1000)</f>
        <v>5.2503004095238094E-2</v>
      </c>
      <c r="FV39" s="41">
        <f>58.8025391818182/(1000)</f>
        <v>5.88025391818182E-2</v>
      </c>
      <c r="FW39" s="41">
        <f>60.9551766363636/(1000)</f>
        <v>6.0955176636363601E-2</v>
      </c>
      <c r="FX39" s="41">
        <f>72.7007371904762/(1000)</f>
        <v>7.2700737190476206E-2</v>
      </c>
      <c r="FY39" s="41">
        <f>77.7865126956522/(1000)</f>
        <v>7.7786512695652205E-2</v>
      </c>
      <c r="FZ39" s="41">
        <f>56.5680145/(1000)</f>
        <v>5.65680145E-2</v>
      </c>
      <c r="GA39" s="41">
        <f>41.4033776666667/(1000)</f>
        <v>4.1403377666666699E-2</v>
      </c>
      <c r="GB39" s="41">
        <f>38.2128219090909/(1000)</f>
        <v>3.8212821909090901E-2</v>
      </c>
      <c r="GC39" s="41">
        <f>29.7986040434783/(1000)</f>
        <v>2.97986040434783E-2</v>
      </c>
      <c r="GD39" s="41">
        <f t="shared" si="38"/>
        <v>7.9922610255623E-2</v>
      </c>
      <c r="GE39" s="41">
        <f t="shared" si="39"/>
        <v>5.7859735510315514E-2</v>
      </c>
      <c r="GF39" s="41">
        <f t="shared" si="40"/>
        <v>6.5214027092084681E-2</v>
      </c>
      <c r="GT39" s="41">
        <v>23</v>
      </c>
      <c r="GU39" s="41">
        <f t="shared" si="41"/>
        <v>92</v>
      </c>
      <c r="GV39" s="55">
        <f t="shared" si="42"/>
        <v>4.2889999999999998E-2</v>
      </c>
      <c r="GW39" s="55">
        <f t="shared" si="43"/>
        <v>1.2379268000000001E-2</v>
      </c>
      <c r="GX39" s="41">
        <f>121.139555555556/(1000)</f>
        <v>0.121139555555556</v>
      </c>
      <c r="GY39" s="41">
        <f>82.4927272727273/(1000)</f>
        <v>8.2492727272727287E-2</v>
      </c>
      <c r="GZ39" s="41">
        <f>51.1281818181818/(1000)</f>
        <v>5.1128181818181802E-2</v>
      </c>
      <c r="HA39" s="41">
        <f>59.1208695652174/(1000)</f>
        <v>5.91208695652174E-2</v>
      </c>
      <c r="HB39" s="41">
        <f>68.3815384615385/(1000)</f>
        <v>6.8381538461538494E-2</v>
      </c>
      <c r="HC39" s="41">
        <f>69.2539583333333/(1000)</f>
        <v>6.9253958333333296E-2</v>
      </c>
      <c r="HD39" s="41">
        <f>85.1794117647059/(1000)</f>
        <v>8.5179411764705906E-2</v>
      </c>
      <c r="HE39" s="41">
        <f>91.9587234042553/(1000)</f>
        <v>9.1958723404255288E-2</v>
      </c>
      <c r="HF39" s="41">
        <f>68.0451851851852/(1000)</f>
        <v>6.8045185185185209E-2</v>
      </c>
      <c r="HG39" s="41">
        <f>49.4024444444444/(1000)</f>
        <v>4.9402444444444402E-2</v>
      </c>
      <c r="HH39" s="41">
        <f>47.5976470588235/(1000)</f>
        <v>4.7597647058823495E-2</v>
      </c>
      <c r="HI39" s="41">
        <f>42.2082352941176/(1000)</f>
        <v>4.2208235294117602E-2</v>
      </c>
      <c r="HJ39" s="41">
        <f t="shared" si="44"/>
        <v>0.13387858767186994</v>
      </c>
      <c r="HK39" s="41">
        <f t="shared" si="45"/>
        <v>0.12045316793382581</v>
      </c>
      <c r="HL39" s="41">
        <f t="shared" si="46"/>
        <v>0.12492830784650717</v>
      </c>
      <c r="HN39" s="59" t="s">
        <v>443</v>
      </c>
      <c r="HO39" s="55" t="s">
        <v>480</v>
      </c>
      <c r="HP39" s="55">
        <f>6+0+4.44941+0+0.000606+6.749044/4+0-0+0.226245</f>
        <v>12.363522</v>
      </c>
      <c r="HQ39" s="55">
        <f>HP39/mo</f>
        <v>0.40536137704918029</v>
      </c>
      <c r="IC39" s="41" t="s">
        <v>421</v>
      </c>
      <c r="ID39" s="41">
        <f>MAX(ID15:ID38)</f>
        <v>0.29352387222379051</v>
      </c>
      <c r="IE39" s="41">
        <f>MAX(IE15:IE38)</f>
        <v>0.18627410624955881</v>
      </c>
      <c r="IF39" s="41">
        <f>MAX(IF15:IF38)</f>
        <v>0.21376581695497282</v>
      </c>
      <c r="IH39" s="59" t="s">
        <v>443</v>
      </c>
      <c r="II39" s="55" t="s">
        <v>493</v>
      </c>
      <c r="IJ39" s="55">
        <f>6+0+4.49733+0.053+6.512731/4+0.011057+0+0.103036+0.490802+1.692637</f>
        <v>14.47604475</v>
      </c>
      <c r="IK39" s="55">
        <f>IJ39/mo</f>
        <v>0.47462441803278688</v>
      </c>
      <c r="IW39" s="41" t="s">
        <v>421</v>
      </c>
      <c r="IX39" s="41">
        <f>MAX(IX15:IX38)</f>
        <v>0.28173763376388106</v>
      </c>
      <c r="IY39" s="41">
        <f>MAX(IY15:IY38)</f>
        <v>9.9533791184359149E-2</v>
      </c>
      <c r="IZ39" s="41">
        <f>MAX(IZ15:IZ38)</f>
        <v>0.15470632185794278</v>
      </c>
      <c r="JB39" s="59" t="s">
        <v>443</v>
      </c>
      <c r="JC39" s="55" t="s">
        <v>500</v>
      </c>
      <c r="JD39" s="55">
        <f>6+10.41</f>
        <v>16.41</v>
      </c>
      <c r="JE39" s="55">
        <f>JD39/mo</f>
        <v>0.53803278688524592</v>
      </c>
      <c r="JQ39" s="41" t="s">
        <v>421</v>
      </c>
      <c r="JR39" s="41">
        <f>MAX(JR15:JR38)</f>
        <v>0.31321815146809684</v>
      </c>
      <c r="JS39" s="41">
        <f>MAX(JS15:JS38)</f>
        <v>0.165174392288814</v>
      </c>
      <c r="JT39" s="41">
        <f>MAX(JT15:JT38)</f>
        <v>0.20854252146121549</v>
      </c>
      <c r="JV39" s="55" t="s">
        <v>443</v>
      </c>
      <c r="JW39" s="55" t="s">
        <v>500</v>
      </c>
      <c r="JX39" s="55">
        <f>6+11.87</f>
        <v>17.869999999999997</v>
      </c>
      <c r="JY39" s="55">
        <f>JX39/mo</f>
        <v>0.5859016393442622</v>
      </c>
      <c r="KK39" s="41" t="s">
        <v>421</v>
      </c>
      <c r="KL39" s="41">
        <f>MAX(KL15:KL38)</f>
        <v>0.3071881514680968</v>
      </c>
      <c r="KM39" s="41">
        <f>MAX(KM15:KM38)</f>
        <v>0.159144392288814</v>
      </c>
      <c r="KN39" s="41">
        <f>MAX(KN15:KN38)</f>
        <v>0.20251252146121551</v>
      </c>
    </row>
    <row r="40" spans="5:300" ht="16">
      <c r="J40" s="41" t="s">
        <v>103</v>
      </c>
      <c r="K40" s="41" t="s">
        <v>94</v>
      </c>
      <c r="L40" s="41">
        <f>14.85</f>
        <v>14.85</v>
      </c>
      <c r="M40" s="41">
        <f>L40/mo</f>
        <v>0.48688524590163934</v>
      </c>
      <c r="AE40" s="41" t="s">
        <v>99</v>
      </c>
      <c r="AF40" s="41" t="s">
        <v>94</v>
      </c>
      <c r="AG40" s="41">
        <f>17.57</f>
        <v>17.57</v>
      </c>
      <c r="AH40" s="41">
        <f>AG40/mo</f>
        <v>0.57606557377049183</v>
      </c>
      <c r="AZ40" s="41" t="s">
        <v>99</v>
      </c>
      <c r="BA40" s="41" t="s">
        <v>94</v>
      </c>
      <c r="BB40" s="41">
        <v>18.940000000000001</v>
      </c>
      <c r="BC40" s="41">
        <f>BB40/mo</f>
        <v>0.62098360655737705</v>
      </c>
      <c r="BU40" s="41" t="s">
        <v>99</v>
      </c>
      <c r="BV40" s="41" t="s">
        <v>94</v>
      </c>
      <c r="BW40" s="41">
        <v>19.54</v>
      </c>
      <c r="BX40" s="41">
        <f>BW40/mo</f>
        <v>0.64065573770491802</v>
      </c>
      <c r="EA40">
        <v>0.16511999999999999</v>
      </c>
      <c r="EN40" s="45" t="s">
        <v>145</v>
      </c>
      <c r="EO40" s="41" t="s">
        <v>146</v>
      </c>
      <c r="EP40" s="41">
        <f>30.68/10</f>
        <v>3.0680000000000001</v>
      </c>
      <c r="EQ40" s="41">
        <f>EP40/mo</f>
        <v>0.10059016393442623</v>
      </c>
      <c r="ES40" s="41" t="s">
        <v>145</v>
      </c>
      <c r="ET40" s="41" t="s">
        <v>155</v>
      </c>
      <c r="EU40" s="41">
        <f>31.32+28.74</f>
        <v>60.06</v>
      </c>
      <c r="EV40" s="41">
        <f>EU40/mo</f>
        <v>1.9691803278688524</v>
      </c>
      <c r="EX40" s="41" t="s">
        <v>145</v>
      </c>
      <c r="EY40" s="41" t="s">
        <v>157</v>
      </c>
      <c r="EZ40" s="41">
        <f>18.63+1.12+34.2</f>
        <v>53.95</v>
      </c>
      <c r="FA40" s="41">
        <f>EZ40/mo</f>
        <v>1.7688524590163934</v>
      </c>
      <c r="FC40" s="41" t="s">
        <v>152</v>
      </c>
      <c r="FD40" s="41" t="s">
        <v>153</v>
      </c>
      <c r="FE40" s="41">
        <v>4.57</v>
      </c>
      <c r="FF40" s="41">
        <f>FE40/mo</f>
        <v>0.14983606557377049</v>
      </c>
      <c r="FN40" s="41" t="s">
        <v>54</v>
      </c>
      <c r="FO40" s="41" t="s">
        <v>420</v>
      </c>
      <c r="FP40" s="41">
        <f>9.19+1.2+164.73/1000</f>
        <v>10.554729999999999</v>
      </c>
      <c r="FQ40" s="41">
        <f>FP40/mo</f>
        <v>0.34605672131147541</v>
      </c>
      <c r="GC40" s="41" t="s">
        <v>421</v>
      </c>
      <c r="GD40" s="41">
        <f>MAX(GD16:GD39)</f>
        <v>0.13427801007105217</v>
      </c>
      <c r="GE40" s="41">
        <f>MAX(GE16:GE39)</f>
        <v>7.3648731833856812E-2</v>
      </c>
      <c r="GF40" s="41">
        <f>MAX(GF16:GF39)</f>
        <v>9.2705599589212789E-2</v>
      </c>
      <c r="GT40" s="41" t="s">
        <v>443</v>
      </c>
      <c r="GU40" s="55" t="s">
        <v>468</v>
      </c>
      <c r="GV40" s="55">
        <f>31.13+0.16+0.2+0.36+0.01+1.75</f>
        <v>33.61</v>
      </c>
      <c r="GW40" s="55">
        <f>GV40/mo</f>
        <v>1.101967213114754</v>
      </c>
      <c r="HI40" s="41" t="s">
        <v>421</v>
      </c>
      <c r="HJ40" s="41">
        <f>MAX(HJ16:HJ39)</f>
        <v>0.19361248102235423</v>
      </c>
      <c r="HK40" s="41">
        <f>MAX(HK16:HK39)</f>
        <v>0.15370157703715487</v>
      </c>
      <c r="HL40" s="41">
        <f>MAX(HL16:HL39)</f>
        <v>0.16700521169888799</v>
      </c>
      <c r="HN40" s="59" t="s">
        <v>444</v>
      </c>
      <c r="HO40" s="55" t="s">
        <v>480</v>
      </c>
      <c r="HP40" s="55">
        <f>6+0+4.44941+0+0.000606+0+0-0+0.226245</f>
        <v>10.676261</v>
      </c>
      <c r="HQ40" s="55">
        <f>HP40/mo</f>
        <v>0.35004134426229511</v>
      </c>
      <c r="IC40" s="41" t="s">
        <v>422</v>
      </c>
      <c r="ID40" s="41">
        <f>MIN(ID15:ID38)</f>
        <v>6.9684643048301326E-2</v>
      </c>
      <c r="IE40" s="41">
        <f>MIN(IE15:IE38)</f>
        <v>4.408938547695513E-2</v>
      </c>
      <c r="IF40" s="41">
        <f>MIN(IF15:IF38)</f>
        <v>5.2621138000737193E-2</v>
      </c>
      <c r="IH40" s="59" t="s">
        <v>444</v>
      </c>
      <c r="II40" s="55" t="s">
        <v>493</v>
      </c>
      <c r="IJ40" s="55">
        <f>6+0+4.49733+0.053+0+0.011057+0+0.103036+0.490802+1.692637</f>
        <v>12.847861999999999</v>
      </c>
      <c r="IK40" s="55">
        <f>IJ40/mo</f>
        <v>0.4212413770491803</v>
      </c>
      <c r="IW40" s="41" t="s">
        <v>422</v>
      </c>
      <c r="IX40" s="41">
        <f>MIN(IX15:IX38)</f>
        <v>6.9225547180853553E-2</v>
      </c>
      <c r="IY40" s="41">
        <f>MIN(IY15:IY38)</f>
        <v>4.1062871741483167E-2</v>
      </c>
      <c r="IZ40" s="41">
        <f>MIN(IZ15:IZ38)</f>
        <v>5.0450430221273296E-2</v>
      </c>
      <c r="JB40" s="59" t="s">
        <v>444</v>
      </c>
      <c r="JC40" s="55" t="s">
        <v>500</v>
      </c>
      <c r="JD40" s="55">
        <f>6+7.81</f>
        <v>13.809999999999999</v>
      </c>
      <c r="JE40" s="55">
        <f>JD40/mo</f>
        <v>0.4527868852459016</v>
      </c>
      <c r="JQ40" s="41" t="s">
        <v>422</v>
      </c>
      <c r="JR40" s="41">
        <f>MIN(JR15:JR38)</f>
        <v>0.11082569744906362</v>
      </c>
      <c r="JS40" s="41">
        <f>MIN(JS15:JS38)</f>
        <v>8.1311496156979357E-2</v>
      </c>
      <c r="JT40" s="41">
        <f>MIN(JT15:JT38)</f>
        <v>9.1149563254340774E-2</v>
      </c>
      <c r="JV40" s="55" t="s">
        <v>444</v>
      </c>
      <c r="JW40" s="55" t="s">
        <v>500</v>
      </c>
      <c r="JX40" s="55">
        <f>6+9.11</f>
        <v>15.11</v>
      </c>
      <c r="JY40" s="55">
        <f>JX40/mo</f>
        <v>0.49540983606557376</v>
      </c>
      <c r="KK40" s="41" t="s">
        <v>422</v>
      </c>
      <c r="KL40" s="41">
        <f>MIN(KL15:KL38)</f>
        <v>0.10479569744906363</v>
      </c>
      <c r="KM40" s="41">
        <f>MIN(KM15:KM38)</f>
        <v>7.5281496156979349E-2</v>
      </c>
      <c r="KN40" s="41">
        <f>MIN(KN15:KN38)</f>
        <v>8.511956325434078E-2</v>
      </c>
    </row>
    <row r="41" spans="5:300" ht="16">
      <c r="AE41" s="41" t="s">
        <v>100</v>
      </c>
      <c r="AF41" s="41" t="s">
        <v>57</v>
      </c>
      <c r="AG41" s="41">
        <f>17.57+5.56</f>
        <v>23.13</v>
      </c>
      <c r="AH41" s="41">
        <f>AG41/mo</f>
        <v>0.75836065573770484</v>
      </c>
      <c r="AZ41" s="41" t="s">
        <v>100</v>
      </c>
      <c r="BA41" s="41" t="s">
        <v>57</v>
      </c>
      <c r="BB41" s="41">
        <f>18.94+5.47</f>
        <v>24.41</v>
      </c>
      <c r="BC41" s="41">
        <f>BB41/mo</f>
        <v>0.80032786885245899</v>
      </c>
      <c r="BU41" s="41" t="s">
        <v>100</v>
      </c>
      <c r="BV41" s="41" t="s">
        <v>57</v>
      </c>
      <c r="BW41" s="41">
        <f>19.54+5.33</f>
        <v>24.869999999999997</v>
      </c>
      <c r="BX41" s="41">
        <f>BW41/mo</f>
        <v>0.81540983606557371</v>
      </c>
      <c r="EA41">
        <v>0.16511999999999999</v>
      </c>
      <c r="GC41" s="41" t="s">
        <v>422</v>
      </c>
      <c r="GD41" s="41">
        <f>MIN(GD16:GD39)</f>
        <v>6.2715090462756418E-2</v>
      </c>
      <c r="GE41" s="41">
        <f>MIN(GE16:GE39)</f>
        <v>5.2837854552331552E-2</v>
      </c>
      <c r="GF41" s="41">
        <f>MIN(GF16:GF39)</f>
        <v>5.6145967554830915E-2</v>
      </c>
      <c r="GT41" s="41" t="s">
        <v>469</v>
      </c>
      <c r="GU41" s="55" t="s">
        <v>470</v>
      </c>
      <c r="GV41" s="55">
        <f>24.59+0.16+0.2+0.36+0.01+1.75</f>
        <v>27.07</v>
      </c>
      <c r="GW41" s="55">
        <f>GV41/mo</f>
        <v>0.88754098360655742</v>
      </c>
      <c r="HI41" s="41" t="s">
        <v>422</v>
      </c>
      <c r="HJ41" s="41">
        <f>MIN(HJ16:HJ39)</f>
        <v>0.11635880155322627</v>
      </c>
      <c r="HK41" s="41">
        <f>MIN(HK16:HK39)</f>
        <v>0.11449547119588763</v>
      </c>
      <c r="HL41" s="41">
        <f>MIN(HL16:HL39)</f>
        <v>0.11515710850514173</v>
      </c>
      <c r="IC41" s="41" t="s">
        <v>423</v>
      </c>
      <c r="ID41" s="41">
        <f>ID39-ID40</f>
        <v>0.22383922917548918</v>
      </c>
      <c r="IE41" s="41">
        <f>IE39-IE40</f>
        <v>0.14218472077260369</v>
      </c>
      <c r="IF41" s="41">
        <f>IF39-IF40</f>
        <v>0.16114467895423562</v>
      </c>
      <c r="IW41" s="41" t="s">
        <v>423</v>
      </c>
      <c r="IX41" s="41">
        <f>IX39-IX40</f>
        <v>0.2125120865830275</v>
      </c>
      <c r="IY41" s="41">
        <f>IY39-IY40</f>
        <v>5.8470919442875982E-2</v>
      </c>
      <c r="IZ41" s="41">
        <f>IZ39-IZ40</f>
        <v>0.10425589163666948</v>
      </c>
      <c r="JQ41" s="41" t="s">
        <v>423</v>
      </c>
      <c r="JR41" s="41">
        <f>JR39-JR40</f>
        <v>0.20239245401903322</v>
      </c>
      <c r="JS41" s="41">
        <f>JS39-JS40</f>
        <v>8.3862896131834647E-2</v>
      </c>
      <c r="JT41" s="41">
        <f>JT39-JT40</f>
        <v>0.11739295820687472</v>
      </c>
      <c r="KK41" s="41" t="s">
        <v>423</v>
      </c>
      <c r="KL41" s="41">
        <f>KL39-KL40</f>
        <v>0.20239245401903316</v>
      </c>
      <c r="KM41" s="41">
        <f>KM39-KM40</f>
        <v>8.3862896131834647E-2</v>
      </c>
      <c r="KN41" s="41">
        <f>KN39-KN40</f>
        <v>0.11739295820687473</v>
      </c>
    </row>
    <row r="42" spans="5:300" ht="16">
      <c r="AE42" s="41" t="s">
        <v>101</v>
      </c>
      <c r="AF42" s="41" t="s">
        <v>94</v>
      </c>
      <c r="AG42" s="41">
        <f>17.57</f>
        <v>17.57</v>
      </c>
      <c r="AH42" s="41">
        <f>AG42/mo</f>
        <v>0.57606557377049183</v>
      </c>
      <c r="AZ42" s="41" t="s">
        <v>101</v>
      </c>
      <c r="BA42" s="41" t="s">
        <v>94</v>
      </c>
      <c r="BB42" s="41">
        <v>18.940000000000001</v>
      </c>
      <c r="BC42" s="41">
        <f>BB42/mo</f>
        <v>0.62098360655737705</v>
      </c>
      <c r="BU42" s="41" t="s">
        <v>101</v>
      </c>
      <c r="BV42" s="41" t="s">
        <v>94</v>
      </c>
      <c r="BW42" s="41">
        <v>19.54</v>
      </c>
      <c r="BX42" s="41">
        <f>BW42/mo</f>
        <v>0.64065573770491802</v>
      </c>
      <c r="EA42">
        <v>0.16511999999999999</v>
      </c>
      <c r="EN42" s="43" t="s">
        <v>48</v>
      </c>
      <c r="EO42" s="39" t="s">
        <v>49</v>
      </c>
      <c r="EP42" s="39" t="s">
        <v>149</v>
      </c>
      <c r="ES42" s="39" t="s">
        <v>48</v>
      </c>
      <c r="ET42" s="39" t="s">
        <v>49</v>
      </c>
      <c r="EU42" s="39" t="s">
        <v>149</v>
      </c>
      <c r="EX42" s="39" t="s">
        <v>48</v>
      </c>
      <c r="EY42" s="39" t="s">
        <v>49</v>
      </c>
      <c r="EZ42" s="39" t="s">
        <v>149</v>
      </c>
      <c r="FC42" s="39" t="s">
        <v>48</v>
      </c>
      <c r="FD42" s="39" t="s">
        <v>49</v>
      </c>
      <c r="FE42" s="39" t="s">
        <v>149</v>
      </c>
      <c r="GC42" s="41" t="s">
        <v>423</v>
      </c>
      <c r="GD42" s="41">
        <f>GD40-GD41</f>
        <v>7.156291960829575E-2</v>
      </c>
      <c r="GE42" s="41">
        <f>GE40-GE41</f>
        <v>2.081087728152526E-2</v>
      </c>
      <c r="GF42" s="41">
        <f>GF40-GF41</f>
        <v>3.6559632034381874E-2</v>
      </c>
      <c r="HI42" s="41" t="s">
        <v>423</v>
      </c>
      <c r="HJ42" s="41">
        <f>HJ40-HJ41</f>
        <v>7.7253679469127964E-2</v>
      </c>
      <c r="HK42" s="41">
        <f>HK40-HK41</f>
        <v>3.9206105841267241E-2</v>
      </c>
      <c r="HL42" s="41">
        <f>HL40-HL41</f>
        <v>5.1848103193746262E-2</v>
      </c>
    </row>
    <row r="43" spans="5:300" ht="16">
      <c r="EA43">
        <v>0.16511999999999999</v>
      </c>
      <c r="EN43" s="45">
        <v>0</v>
      </c>
      <c r="EO43" s="41">
        <f t="shared" ref="EO43:EO48" si="68">EN43/$B$1</f>
        <v>0</v>
      </c>
      <c r="EP43" s="41">
        <v>0.10218000000000001</v>
      </c>
      <c r="ES43" s="41">
        <v>0</v>
      </c>
      <c r="ET43" s="41">
        <f t="shared" ref="ET43:ET48" si="69">ES43/$B$1</f>
        <v>0</v>
      </c>
      <c r="EU43" s="41">
        <v>0.10136000000000001</v>
      </c>
      <c r="EX43" s="41">
        <v>0</v>
      </c>
      <c r="EY43" s="41">
        <f t="shared" ref="EY43:EY48" si="70">EX43/$B$1</f>
        <v>0</v>
      </c>
      <c r="EZ43" s="41">
        <v>9.2799999999999994E-2</v>
      </c>
      <c r="FC43" s="41">
        <v>0</v>
      </c>
      <c r="FD43" s="41">
        <f t="shared" ref="FD43:FD48" si="71">FC43/$B$1</f>
        <v>0</v>
      </c>
      <c r="FE43" s="41">
        <f>0.12729+0.05903</f>
        <v>0.18631999999999999</v>
      </c>
      <c r="GU43" s="41" t="s">
        <v>436</v>
      </c>
      <c r="HO43" s="41" t="s">
        <v>473</v>
      </c>
      <c r="II43" s="41" t="s">
        <v>306</v>
      </c>
      <c r="JC43" s="41" t="s">
        <v>307</v>
      </c>
    </row>
    <row r="44" spans="5:300" ht="16">
      <c r="EA44">
        <v>0.16511999999999999</v>
      </c>
      <c r="EN44" s="45">
        <v>6</v>
      </c>
      <c r="EO44" s="41">
        <f t="shared" si="68"/>
        <v>24</v>
      </c>
      <c r="EP44" s="41">
        <v>0.11448999999999999</v>
      </c>
      <c r="ES44" s="41">
        <v>6</v>
      </c>
      <c r="ET44" s="41">
        <f t="shared" si="69"/>
        <v>24</v>
      </c>
      <c r="EU44" s="41">
        <v>0.12801000000000001</v>
      </c>
      <c r="EX44" s="41">
        <v>6</v>
      </c>
      <c r="EY44" s="41">
        <f t="shared" si="70"/>
        <v>24</v>
      </c>
      <c r="EZ44" s="41">
        <v>0.11693000000000001</v>
      </c>
      <c r="FC44" s="41">
        <v>6</v>
      </c>
      <c r="FD44" s="41">
        <f t="shared" si="71"/>
        <v>24</v>
      </c>
      <c r="FE44" s="41">
        <f>0.12729+0.0764</f>
        <v>0.20368999999999998</v>
      </c>
      <c r="GC44" s="39" t="s">
        <v>433</v>
      </c>
      <c r="GD44" s="39" t="s">
        <v>434</v>
      </c>
      <c r="GE44" s="39" t="s">
        <v>548</v>
      </c>
      <c r="GF44" s="39" t="s">
        <v>549</v>
      </c>
      <c r="GU44" s="41" t="s">
        <v>465</v>
      </c>
      <c r="HO44" s="41" t="s">
        <v>492</v>
      </c>
      <c r="II44" s="41" t="s">
        <v>491</v>
      </c>
      <c r="JC44" s="41" t="s">
        <v>498</v>
      </c>
      <c r="JW44" s="41" t="s">
        <v>502</v>
      </c>
    </row>
    <row r="45" spans="5:300" ht="16">
      <c r="EA45">
        <v>0.16511999999999999</v>
      </c>
      <c r="EN45" s="45">
        <v>10</v>
      </c>
      <c r="EO45" s="41">
        <f t="shared" si="68"/>
        <v>40</v>
      </c>
      <c r="EP45" s="41">
        <v>0.10218000000000001</v>
      </c>
      <c r="ES45" s="41">
        <v>10</v>
      </c>
      <c r="ET45" s="41">
        <f t="shared" si="69"/>
        <v>40</v>
      </c>
      <c r="EU45" s="41">
        <v>0.10136000000000001</v>
      </c>
      <c r="EX45" s="41">
        <v>10</v>
      </c>
      <c r="EY45" s="41">
        <f t="shared" si="70"/>
        <v>40</v>
      </c>
      <c r="EZ45" s="41">
        <v>9.2799999999999994E-2</v>
      </c>
      <c r="FC45" s="41">
        <v>10</v>
      </c>
      <c r="FD45" s="41">
        <f t="shared" si="71"/>
        <v>40</v>
      </c>
      <c r="FE45" s="41">
        <f>0.12729+0.05903</f>
        <v>0.18631999999999999</v>
      </c>
      <c r="GB45">
        <v>0</v>
      </c>
      <c r="GC45" s="41">
        <v>7.6685645999999996E-2</v>
      </c>
      <c r="GD45" s="41">
        <v>5.6341711000000003E-2</v>
      </c>
      <c r="GE45" s="41">
        <v>8.9605645999999997E-2</v>
      </c>
      <c r="GF45" s="41">
        <v>6.9261711000000004E-2</v>
      </c>
      <c r="GU45" s="41">
        <v>5.5269267999999996E-2</v>
      </c>
      <c r="HO45" s="41">
        <v>7.9850000000000008E-3</v>
      </c>
      <c r="II45" s="41">
        <v>7.8869999999999999E-3</v>
      </c>
      <c r="JC45" s="41">
        <v>4.8590000000000001E-2</v>
      </c>
      <c r="JW45" s="41">
        <v>4.2560000000000001E-2</v>
      </c>
    </row>
    <row r="46" spans="5:300" ht="16">
      <c r="EA46">
        <v>0.16511999999999999</v>
      </c>
      <c r="EN46" s="45">
        <v>14</v>
      </c>
      <c r="EO46" s="41">
        <f t="shared" si="68"/>
        <v>56</v>
      </c>
      <c r="EP46" s="41">
        <v>0.11448999999999999</v>
      </c>
      <c r="ES46" s="41">
        <v>14</v>
      </c>
      <c r="ET46" s="41">
        <f t="shared" si="69"/>
        <v>56</v>
      </c>
      <c r="EU46" s="41">
        <v>0.12801000000000001</v>
      </c>
      <c r="EX46" s="41">
        <v>14</v>
      </c>
      <c r="EY46" s="41">
        <f t="shared" si="70"/>
        <v>56</v>
      </c>
      <c r="EZ46" s="41">
        <v>0.11693000000000001</v>
      </c>
      <c r="FC46" s="41">
        <v>14</v>
      </c>
      <c r="FD46" s="41">
        <f t="shared" si="71"/>
        <v>56</v>
      </c>
      <c r="FE46" s="41">
        <f>0.12729+0.0764</f>
        <v>0.20368999999999998</v>
      </c>
      <c r="GB46">
        <v>1</v>
      </c>
      <c r="GC46" s="41">
        <v>7.6685645999999996E-2</v>
      </c>
      <c r="GD46" s="41">
        <v>5.6341711000000003E-2</v>
      </c>
      <c r="GE46" s="41">
        <v>8.9605645999999997E-2</v>
      </c>
      <c r="GF46" s="41">
        <v>6.9261711000000004E-2</v>
      </c>
      <c r="GU46" s="41" t="s">
        <v>433</v>
      </c>
      <c r="GV46" s="41" t="s">
        <v>434</v>
      </c>
      <c r="GW46" s="41" t="s">
        <v>435</v>
      </c>
      <c r="HO46" s="41" t="s">
        <v>433</v>
      </c>
      <c r="HP46" s="41" t="s">
        <v>434</v>
      </c>
      <c r="HQ46" s="41" t="s">
        <v>435</v>
      </c>
      <c r="II46" s="41" t="s">
        <v>433</v>
      </c>
      <c r="IJ46" s="41" t="s">
        <v>434</v>
      </c>
      <c r="IK46" s="41" t="s">
        <v>435</v>
      </c>
      <c r="JC46" s="41" t="s">
        <v>433</v>
      </c>
      <c r="JD46" s="41" t="s">
        <v>434</v>
      </c>
      <c r="JE46" s="41" t="s">
        <v>435</v>
      </c>
      <c r="JW46" s="41" t="s">
        <v>433</v>
      </c>
      <c r="JX46" s="41" t="s">
        <v>434</v>
      </c>
      <c r="JY46" s="41" t="s">
        <v>435</v>
      </c>
    </row>
    <row r="47" spans="5:300" ht="16">
      <c r="EA47">
        <v>0.16511999999999999</v>
      </c>
      <c r="EN47" s="45">
        <v>16</v>
      </c>
      <c r="EO47" s="41">
        <f t="shared" si="68"/>
        <v>64</v>
      </c>
      <c r="EP47" s="41">
        <v>0.23960999999999999</v>
      </c>
      <c r="ES47" s="41">
        <v>16</v>
      </c>
      <c r="ET47" s="41">
        <f t="shared" si="69"/>
        <v>64</v>
      </c>
      <c r="EU47" s="41">
        <v>0.21992999999999999</v>
      </c>
      <c r="EX47" s="41">
        <v>16</v>
      </c>
      <c r="EY47" s="41">
        <f t="shared" si="70"/>
        <v>64</v>
      </c>
      <c r="EZ47" s="41">
        <v>0.20016999999999999</v>
      </c>
      <c r="FC47" s="41">
        <v>16</v>
      </c>
      <c r="FD47" s="41">
        <f t="shared" si="71"/>
        <v>64</v>
      </c>
      <c r="FE47" s="41">
        <f>0.12729+0.13581</f>
        <v>0.2631</v>
      </c>
      <c r="GB47">
        <v>2</v>
      </c>
      <c r="GC47" s="41">
        <v>7.6685645999999996E-2</v>
      </c>
      <c r="GD47" s="41">
        <v>5.6341711000000003E-2</v>
      </c>
      <c r="GE47" s="41">
        <v>8.9605645999999997E-2</v>
      </c>
      <c r="GF47" s="41">
        <v>6.9261711000000004E-2</v>
      </c>
      <c r="GT47" s="41">
        <v>0</v>
      </c>
      <c r="GU47" s="41">
        <v>0.13020604432341351</v>
      </c>
      <c r="GV47" s="41">
        <v>0.12062937414464868</v>
      </c>
      <c r="GW47" s="41">
        <v>0.12382159753757029</v>
      </c>
      <c r="GX47" s="41">
        <f>GU47+$GU$45</f>
        <v>0.18547531232341352</v>
      </c>
      <c r="GY47" s="41">
        <f>GV47+$GU$45</f>
        <v>0.17589864214464868</v>
      </c>
      <c r="HN47" s="45">
        <v>0</v>
      </c>
      <c r="HO47" s="41">
        <v>8.2625276356342939E-2</v>
      </c>
      <c r="HP47" s="41">
        <v>5.5247686101969819E-2</v>
      </c>
      <c r="HQ47" s="41">
        <v>6.4373549520094192E-2</v>
      </c>
      <c r="IH47" s="45">
        <v>0</v>
      </c>
      <c r="II47" s="41">
        <v>8.1080699195958034E-2</v>
      </c>
      <c r="IJ47" s="41">
        <v>5.1268898574987058E-2</v>
      </c>
      <c r="IK47" s="41">
        <v>6.1206165448644052E-2</v>
      </c>
      <c r="JB47" s="45">
        <v>0</v>
      </c>
      <c r="JC47" s="41">
        <v>0.1222266241265528</v>
      </c>
      <c r="JD47" s="41">
        <v>9.0835155584621435E-2</v>
      </c>
      <c r="JE47" s="41">
        <v>0.10129897843193189</v>
      </c>
      <c r="JV47">
        <v>0</v>
      </c>
      <c r="JW47" s="41">
        <v>0.11619662412655279</v>
      </c>
      <c r="JX47" s="41">
        <v>8.4805155584621442E-2</v>
      </c>
      <c r="JY47" s="41">
        <v>9.5268978431931897E-2</v>
      </c>
    </row>
    <row r="48" spans="5:300" ht="16">
      <c r="EA48">
        <v>0.16511999999999999</v>
      </c>
      <c r="EN48" s="45">
        <v>21</v>
      </c>
      <c r="EO48" s="41">
        <f t="shared" si="68"/>
        <v>84</v>
      </c>
      <c r="EP48" s="41">
        <v>0.11448999999999999</v>
      </c>
      <c r="ES48" s="41">
        <v>21</v>
      </c>
      <c r="ET48" s="41">
        <f t="shared" si="69"/>
        <v>84</v>
      </c>
      <c r="EU48" s="41">
        <v>0.12801000000000001</v>
      </c>
      <c r="EX48" s="41">
        <v>21</v>
      </c>
      <c r="EY48" s="41">
        <f t="shared" si="70"/>
        <v>84</v>
      </c>
      <c r="EZ48" s="41">
        <v>0.11693000000000001</v>
      </c>
      <c r="FC48" s="41">
        <v>21</v>
      </c>
      <c r="FD48" s="41">
        <f t="shared" si="71"/>
        <v>84</v>
      </c>
      <c r="FE48" s="41">
        <f>0.12729+0.0764</f>
        <v>0.20368999999999998</v>
      </c>
      <c r="GB48">
        <v>3</v>
      </c>
      <c r="GC48" s="41">
        <v>7.6685645999999996E-2</v>
      </c>
      <c r="GD48" s="41">
        <v>5.6341711000000003E-2</v>
      </c>
      <c r="GE48" s="41">
        <v>8.9605645999999997E-2</v>
      </c>
      <c r="GF48" s="41">
        <v>6.9261711000000004E-2</v>
      </c>
      <c r="GT48" s="41">
        <v>1</v>
      </c>
      <c r="GU48" s="41">
        <v>0.13020604432341351</v>
      </c>
      <c r="GV48" s="41">
        <v>0.12062937414464868</v>
      </c>
      <c r="GW48" s="41">
        <v>0.12382159753757029</v>
      </c>
      <c r="GX48" s="41">
        <f t="shared" ref="GX48:GY111" si="72">GU48+$GU$45</f>
        <v>0.18547531232341352</v>
      </c>
      <c r="GY48" s="41">
        <f t="shared" si="72"/>
        <v>0.17589864214464868</v>
      </c>
      <c r="HN48" s="45">
        <v>1</v>
      </c>
      <c r="HO48" s="41">
        <v>8.2625276356342939E-2</v>
      </c>
      <c r="HP48" s="41">
        <v>5.5247686101969819E-2</v>
      </c>
      <c r="HQ48" s="41">
        <v>6.4373549520094192E-2</v>
      </c>
      <c r="IH48" s="45">
        <v>1</v>
      </c>
      <c r="II48" s="41">
        <v>8.1080699195958034E-2</v>
      </c>
      <c r="IJ48" s="41">
        <v>5.1268898574987058E-2</v>
      </c>
      <c r="IK48" s="41">
        <v>6.1206165448644052E-2</v>
      </c>
      <c r="JB48" s="45">
        <v>1</v>
      </c>
      <c r="JC48" s="41">
        <v>0.1222266241265528</v>
      </c>
      <c r="JD48" s="41">
        <v>9.0835155584621435E-2</v>
      </c>
      <c r="JE48" s="41">
        <v>0.10129897843193189</v>
      </c>
      <c r="JV48">
        <v>1</v>
      </c>
      <c r="JW48" s="41">
        <v>0.11619662412655279</v>
      </c>
      <c r="JX48" s="41">
        <v>8.4805155584621442E-2</v>
      </c>
      <c r="JY48" s="41">
        <v>9.5268978431931897E-2</v>
      </c>
    </row>
    <row r="49" spans="131:285" ht="16">
      <c r="EA49">
        <v>0.16511999999999999</v>
      </c>
      <c r="EN49" s="45" t="s">
        <v>145</v>
      </c>
      <c r="EO49" s="41" t="s">
        <v>146</v>
      </c>
      <c r="EP49" s="41">
        <f>30.68/10</f>
        <v>3.0680000000000001</v>
      </c>
      <c r="EQ49" s="41">
        <f>EP49/mo</f>
        <v>0.10059016393442623</v>
      </c>
      <c r="ES49" s="41" t="s">
        <v>145</v>
      </c>
      <c r="ET49" s="41" t="s">
        <v>155</v>
      </c>
      <c r="EU49" s="41">
        <f>31.32+28.74</f>
        <v>60.06</v>
      </c>
      <c r="EV49" s="41">
        <f>EU49/mo</f>
        <v>1.9691803278688524</v>
      </c>
      <c r="EX49" s="41" t="s">
        <v>145</v>
      </c>
      <c r="EY49" s="41" t="s">
        <v>157</v>
      </c>
      <c r="EZ49" s="41">
        <f>18.63+1.12+34.2</f>
        <v>53.95</v>
      </c>
      <c r="FA49" s="41">
        <f>EZ49/mo</f>
        <v>1.7688524590163934</v>
      </c>
      <c r="FC49" s="41" t="s">
        <v>152</v>
      </c>
      <c r="FD49" s="41" t="s">
        <v>153</v>
      </c>
      <c r="FE49" s="41">
        <v>4.57</v>
      </c>
      <c r="FF49" s="41">
        <f>FE49/mo</f>
        <v>0.14983606557377049</v>
      </c>
      <c r="GB49">
        <v>4</v>
      </c>
      <c r="GC49" s="41">
        <v>7.0228194999999993E-2</v>
      </c>
      <c r="GD49" s="41">
        <v>5.4083539E-2</v>
      </c>
      <c r="GE49" s="41">
        <v>8.3148194999999994E-2</v>
      </c>
      <c r="GF49" s="41">
        <v>6.7003539000000001E-2</v>
      </c>
      <c r="GJ49"/>
      <c r="GT49" s="41">
        <v>2</v>
      </c>
      <c r="GU49" s="41">
        <v>0.13020604432341351</v>
      </c>
      <c r="GV49" s="41">
        <v>0.12062937414464868</v>
      </c>
      <c r="GW49" s="41">
        <v>0.12382159753757029</v>
      </c>
      <c r="GX49" s="41">
        <f t="shared" si="72"/>
        <v>0.18547531232341352</v>
      </c>
      <c r="GY49" s="41">
        <f t="shared" si="72"/>
        <v>0.17589864214464868</v>
      </c>
      <c r="HN49" s="45">
        <v>2</v>
      </c>
      <c r="HO49" s="41">
        <v>8.2625276356342939E-2</v>
      </c>
      <c r="HP49" s="41">
        <v>5.5247686101969819E-2</v>
      </c>
      <c r="HQ49" s="41">
        <v>6.4373549520094192E-2</v>
      </c>
      <c r="IH49" s="45">
        <v>2</v>
      </c>
      <c r="II49" s="41">
        <v>8.1080699195958034E-2</v>
      </c>
      <c r="IJ49" s="41">
        <v>5.1268898574987058E-2</v>
      </c>
      <c r="IK49" s="41">
        <v>6.1206165448644052E-2</v>
      </c>
      <c r="JB49" s="45">
        <v>2</v>
      </c>
      <c r="JC49" s="41">
        <v>0.1222266241265528</v>
      </c>
      <c r="JD49" s="41">
        <v>9.0835155584621435E-2</v>
      </c>
      <c r="JE49" s="41">
        <v>0.10129897843193189</v>
      </c>
      <c r="JV49">
        <v>2</v>
      </c>
      <c r="JW49" s="41">
        <v>0.11619662412655279</v>
      </c>
      <c r="JX49" s="41">
        <v>8.4805155584621442E-2</v>
      </c>
      <c r="JY49" s="41">
        <v>9.5268978431931897E-2</v>
      </c>
    </row>
    <row r="50" spans="131:285" ht="16">
      <c r="EA50">
        <v>0.16511999999999999</v>
      </c>
      <c r="GB50">
        <v>5</v>
      </c>
      <c r="GC50" s="41">
        <v>7.0228194999999993E-2</v>
      </c>
      <c r="GD50" s="41">
        <v>5.4083539E-2</v>
      </c>
      <c r="GE50" s="41">
        <v>8.3148194999999994E-2</v>
      </c>
      <c r="GF50" s="41">
        <v>6.7003539000000001E-2</v>
      </c>
      <c r="GJ50"/>
      <c r="GT50" s="41">
        <v>3</v>
      </c>
      <c r="GU50" s="41">
        <v>0.13020604432341351</v>
      </c>
      <c r="GV50" s="41">
        <v>0.12062937414464868</v>
      </c>
      <c r="GW50" s="41">
        <v>0.12382159753757029</v>
      </c>
      <c r="GX50" s="41">
        <f t="shared" si="72"/>
        <v>0.18547531232341352</v>
      </c>
      <c r="GY50" s="41">
        <f t="shared" si="72"/>
        <v>0.17589864214464868</v>
      </c>
      <c r="HN50" s="45">
        <v>3</v>
      </c>
      <c r="HO50" s="41">
        <v>8.2625276356342939E-2</v>
      </c>
      <c r="HP50" s="41">
        <v>5.5247686101969819E-2</v>
      </c>
      <c r="HQ50" s="41">
        <v>6.4373549520094192E-2</v>
      </c>
      <c r="IH50" s="45">
        <v>3</v>
      </c>
      <c r="II50" s="41">
        <v>8.1080699195958034E-2</v>
      </c>
      <c r="IJ50" s="41">
        <v>5.1268898574987058E-2</v>
      </c>
      <c r="IK50" s="41">
        <v>6.1206165448644052E-2</v>
      </c>
      <c r="JB50" s="45">
        <v>3</v>
      </c>
      <c r="JC50" s="41">
        <v>0.1222266241265528</v>
      </c>
      <c r="JD50" s="41">
        <v>9.0835155584621435E-2</v>
      </c>
      <c r="JE50" s="41">
        <v>0.10129897843193189</v>
      </c>
      <c r="JV50">
        <v>3</v>
      </c>
      <c r="JW50" s="41">
        <v>0.11619662412655279</v>
      </c>
      <c r="JX50" s="41">
        <v>8.4805155584621442E-2</v>
      </c>
      <c r="JY50" s="41">
        <v>9.5268978431931897E-2</v>
      </c>
    </row>
    <row r="51" spans="131:285" ht="16">
      <c r="EA51">
        <v>0.16511999999999999</v>
      </c>
      <c r="EN51" s="43"/>
      <c r="EO51" s="39"/>
      <c r="EP51" s="39"/>
      <c r="GB51">
        <v>6</v>
      </c>
      <c r="GC51" s="41">
        <v>7.0228194999999993E-2</v>
      </c>
      <c r="GD51" s="41">
        <v>5.4083539E-2</v>
      </c>
      <c r="GE51" s="41">
        <v>8.3148194999999994E-2</v>
      </c>
      <c r="GF51" s="41">
        <v>6.7003539000000001E-2</v>
      </c>
      <c r="GJ51"/>
      <c r="GT51" s="41">
        <v>4</v>
      </c>
      <c r="GU51" s="41">
        <v>0.12307777312648911</v>
      </c>
      <c r="GV51" s="41">
        <v>0.11605848349475674</v>
      </c>
      <c r="GW51" s="41">
        <v>0.11839824670533419</v>
      </c>
      <c r="GX51" s="41">
        <f t="shared" si="72"/>
        <v>0.17834704112648911</v>
      </c>
      <c r="GY51" s="41">
        <f t="shared" si="72"/>
        <v>0.17132775149475674</v>
      </c>
      <c r="HN51" s="45">
        <v>4</v>
      </c>
      <c r="HO51" s="41">
        <v>7.5946799330651238E-2</v>
      </c>
      <c r="HP51" s="41">
        <v>4.6699874695616879E-2</v>
      </c>
      <c r="HQ51" s="41">
        <v>5.6448849573961672E-2</v>
      </c>
      <c r="IH51" s="45">
        <v>4</v>
      </c>
      <c r="II51" s="41">
        <v>7.5985932453416158E-2</v>
      </c>
      <c r="IJ51" s="41">
        <v>4.3180238235666052E-2</v>
      </c>
      <c r="IK51" s="41">
        <v>5.4115469641582745E-2</v>
      </c>
      <c r="JB51" s="45">
        <v>4</v>
      </c>
      <c r="JC51" s="41">
        <v>0.11690013029656032</v>
      </c>
      <c r="JD51" s="41">
        <v>8.363628103016775E-2</v>
      </c>
      <c r="JE51" s="41">
        <v>9.4724230785631941E-2</v>
      </c>
      <c r="JV51">
        <v>4</v>
      </c>
      <c r="JW51" s="41">
        <v>0.11087013029656033</v>
      </c>
      <c r="JX51" s="41">
        <v>7.7606281030167756E-2</v>
      </c>
      <c r="JY51" s="41">
        <v>8.8694230785631933E-2</v>
      </c>
    </row>
    <row r="52" spans="131:285" ht="16">
      <c r="EA52">
        <v>0.16511999999999999</v>
      </c>
      <c r="GB52">
        <v>7</v>
      </c>
      <c r="GC52" s="41">
        <v>7.0228194999999993E-2</v>
      </c>
      <c r="GD52" s="41">
        <v>5.4083539E-2</v>
      </c>
      <c r="GE52" s="41">
        <v>8.3148194999999994E-2</v>
      </c>
      <c r="GF52" s="41">
        <v>6.7003539000000001E-2</v>
      </c>
      <c r="GJ52"/>
      <c r="GT52" s="41">
        <v>5</v>
      </c>
      <c r="GU52" s="41">
        <v>0.12307777312648911</v>
      </c>
      <c r="GV52" s="41">
        <v>0.11605848349475674</v>
      </c>
      <c r="GW52" s="41">
        <v>0.11839824670533419</v>
      </c>
      <c r="GX52" s="41">
        <f t="shared" si="72"/>
        <v>0.17834704112648911</v>
      </c>
      <c r="GY52" s="41">
        <f t="shared" si="72"/>
        <v>0.17132775149475674</v>
      </c>
      <c r="HN52" s="45">
        <v>5</v>
      </c>
      <c r="HO52" s="41">
        <v>7.5946799330651238E-2</v>
      </c>
      <c r="HP52" s="41">
        <v>4.6699874695616879E-2</v>
      </c>
      <c r="HQ52" s="41">
        <v>5.6448849573961672E-2</v>
      </c>
      <c r="IH52" s="45">
        <v>5</v>
      </c>
      <c r="II52" s="41">
        <v>7.5985932453416158E-2</v>
      </c>
      <c r="IJ52" s="41">
        <v>4.3180238235666052E-2</v>
      </c>
      <c r="IK52" s="41">
        <v>5.4115469641582745E-2</v>
      </c>
      <c r="JB52" s="45">
        <v>5</v>
      </c>
      <c r="JC52" s="41">
        <v>0.11690013029656032</v>
      </c>
      <c r="JD52" s="41">
        <v>8.363628103016775E-2</v>
      </c>
      <c r="JE52" s="41">
        <v>9.4724230785631941E-2</v>
      </c>
      <c r="JV52">
        <v>5</v>
      </c>
      <c r="JW52" s="41">
        <v>0.11087013029656033</v>
      </c>
      <c r="JX52" s="41">
        <v>7.7606281030167756E-2</v>
      </c>
      <c r="JY52" s="41">
        <v>8.8694230785631933E-2</v>
      </c>
    </row>
    <row r="53" spans="131:285" ht="16">
      <c r="EA53">
        <v>0.16511999999999999</v>
      </c>
      <c r="GB53">
        <v>8</v>
      </c>
      <c r="GC53" s="41">
        <v>6.5216726686735366E-2</v>
      </c>
      <c r="GD53" s="41">
        <v>5.289019344937889E-2</v>
      </c>
      <c r="GE53" s="41">
        <v>7.8136726686735367E-2</v>
      </c>
      <c r="GF53" s="41">
        <v>6.5810193449378884E-2</v>
      </c>
      <c r="GJ53"/>
      <c r="GT53" s="41">
        <v>6</v>
      </c>
      <c r="GU53" s="41">
        <v>0.12307777312648911</v>
      </c>
      <c r="GV53" s="41">
        <v>0.11605848349475674</v>
      </c>
      <c r="GW53" s="41">
        <v>0.11839824670533419</v>
      </c>
      <c r="GX53" s="41">
        <f t="shared" si="72"/>
        <v>0.17834704112648911</v>
      </c>
      <c r="GY53" s="41">
        <f t="shared" si="72"/>
        <v>0.17132775149475674</v>
      </c>
      <c r="HN53" s="45">
        <v>6</v>
      </c>
      <c r="HO53" s="41">
        <v>7.5946799330651238E-2</v>
      </c>
      <c r="HP53" s="41">
        <v>4.6699874695616879E-2</v>
      </c>
      <c r="HQ53" s="41">
        <v>5.6448849573961672E-2</v>
      </c>
      <c r="IH53" s="45">
        <v>6</v>
      </c>
      <c r="II53" s="41">
        <v>7.5985932453416158E-2</v>
      </c>
      <c r="IJ53" s="41">
        <v>4.3180238235666052E-2</v>
      </c>
      <c r="IK53" s="41">
        <v>5.4115469641582745E-2</v>
      </c>
      <c r="JB53" s="45">
        <v>6</v>
      </c>
      <c r="JC53" s="41">
        <v>0.11690013029656032</v>
      </c>
      <c r="JD53" s="41">
        <v>8.363628103016775E-2</v>
      </c>
      <c r="JE53" s="41">
        <v>9.4724230785631941E-2</v>
      </c>
      <c r="JV53">
        <v>6</v>
      </c>
      <c r="JW53" s="41">
        <v>0.11087013029656033</v>
      </c>
      <c r="JX53" s="41">
        <v>7.7606281030167756E-2</v>
      </c>
      <c r="JY53" s="41">
        <v>8.8694230785631933E-2</v>
      </c>
    </row>
    <row r="54" spans="131:285" ht="16">
      <c r="EA54">
        <v>0.16511999999999999</v>
      </c>
      <c r="GB54">
        <v>9</v>
      </c>
      <c r="GC54" s="41">
        <v>6.5216726686735366E-2</v>
      </c>
      <c r="GD54" s="41">
        <v>5.289019344937889E-2</v>
      </c>
      <c r="GE54" s="41">
        <v>7.8136726686735367E-2</v>
      </c>
      <c r="GF54" s="41">
        <v>6.5810193449378884E-2</v>
      </c>
      <c r="GJ54"/>
      <c r="GT54" s="41">
        <v>7</v>
      </c>
      <c r="GU54" s="41">
        <v>0.12307777312648911</v>
      </c>
      <c r="GV54" s="41">
        <v>0.11605848349475674</v>
      </c>
      <c r="GW54" s="41">
        <v>0.11839824670533419</v>
      </c>
      <c r="GX54" s="41">
        <f t="shared" si="72"/>
        <v>0.17834704112648911</v>
      </c>
      <c r="GY54" s="41">
        <f t="shared" si="72"/>
        <v>0.17132775149475674</v>
      </c>
      <c r="HN54" s="45">
        <v>7</v>
      </c>
      <c r="HO54" s="41">
        <v>7.5946799330651238E-2</v>
      </c>
      <c r="HP54" s="41">
        <v>4.6699874695616879E-2</v>
      </c>
      <c r="HQ54" s="41">
        <v>5.6448849573961672E-2</v>
      </c>
      <c r="IH54" s="45">
        <v>7</v>
      </c>
      <c r="II54" s="41">
        <v>7.5985932453416158E-2</v>
      </c>
      <c r="IJ54" s="41">
        <v>4.3180238235666052E-2</v>
      </c>
      <c r="IK54" s="41">
        <v>5.4115469641582745E-2</v>
      </c>
      <c r="JB54" s="45">
        <v>7</v>
      </c>
      <c r="JC54" s="41">
        <v>0.11690013029656032</v>
      </c>
      <c r="JD54" s="41">
        <v>8.363628103016775E-2</v>
      </c>
      <c r="JE54" s="41">
        <v>9.4724230785631941E-2</v>
      </c>
      <c r="JV54">
        <v>7</v>
      </c>
      <c r="JW54" s="41">
        <v>0.11087013029656033</v>
      </c>
      <c r="JX54" s="41">
        <v>7.7606281030167756E-2</v>
      </c>
      <c r="JY54" s="41">
        <v>8.8694230785631933E-2</v>
      </c>
    </row>
    <row r="55" spans="131:285" ht="16">
      <c r="EA55">
        <v>0.16511999999999999</v>
      </c>
      <c r="GB55">
        <v>10</v>
      </c>
      <c r="GC55" s="41">
        <v>6.5216726686735366E-2</v>
      </c>
      <c r="GD55" s="41">
        <v>5.289019344937889E-2</v>
      </c>
      <c r="GE55" s="41">
        <v>7.8136726686735367E-2</v>
      </c>
      <c r="GF55" s="41">
        <v>6.5810193449378884E-2</v>
      </c>
      <c r="GJ55"/>
      <c r="GT55" s="41">
        <v>8</v>
      </c>
      <c r="GU55" s="41">
        <v>0.11903908351012839</v>
      </c>
      <c r="GV55" s="41">
        <v>0.11453402280396628</v>
      </c>
      <c r="GW55" s="41">
        <v>0.11603570970602033</v>
      </c>
      <c r="GX55" s="41">
        <f t="shared" si="72"/>
        <v>0.17430835151012838</v>
      </c>
      <c r="GY55" s="41">
        <f>GV55+$GU$45</f>
        <v>0.16980329080396628</v>
      </c>
      <c r="HN55" s="45">
        <v>8</v>
      </c>
      <c r="HO55" s="41">
        <v>7.1952950369377003E-2</v>
      </c>
      <c r="HP55" s="41">
        <v>4.5092500415402081E-2</v>
      </c>
      <c r="HQ55" s="41">
        <v>5.404598373339372E-2</v>
      </c>
      <c r="IH55" s="45">
        <v>8</v>
      </c>
      <c r="II55" s="41">
        <v>7.1402336497741387E-2</v>
      </c>
      <c r="IJ55" s="41">
        <v>4.1709925357025224E-2</v>
      </c>
      <c r="IK55" s="41">
        <v>5.1607395737263945E-2</v>
      </c>
      <c r="JB55" s="45">
        <v>8</v>
      </c>
      <c r="JC55" s="41">
        <v>0.11326815323263692</v>
      </c>
      <c r="JD55" s="41">
        <v>8.2030906153685551E-2</v>
      </c>
      <c r="JE55" s="41">
        <v>9.2443321846669341E-2</v>
      </c>
      <c r="JV55">
        <v>8</v>
      </c>
      <c r="JW55" s="41">
        <v>0.10723815323263693</v>
      </c>
      <c r="JX55" s="41">
        <v>7.6000906153685543E-2</v>
      </c>
      <c r="JY55" s="41">
        <v>8.6413321846669333E-2</v>
      </c>
    </row>
    <row r="56" spans="131:285" ht="16">
      <c r="EA56">
        <v>0.16511999999999999</v>
      </c>
      <c r="GB56">
        <v>11</v>
      </c>
      <c r="GC56" s="41">
        <v>6.5216726686735366E-2</v>
      </c>
      <c r="GD56" s="41">
        <v>5.289019344937889E-2</v>
      </c>
      <c r="GE56" s="41">
        <v>7.8136726686735367E-2</v>
      </c>
      <c r="GF56" s="41">
        <v>6.5810193449378884E-2</v>
      </c>
      <c r="GJ56"/>
      <c r="GT56" s="41">
        <v>9</v>
      </c>
      <c r="GU56" s="41">
        <v>0.11903908351012839</v>
      </c>
      <c r="GV56" s="41">
        <v>0.11453402280396628</v>
      </c>
      <c r="GW56" s="41">
        <v>0.11603570970602033</v>
      </c>
      <c r="GX56" s="41">
        <f t="shared" si="72"/>
        <v>0.17430835151012838</v>
      </c>
      <c r="GY56" s="41">
        <f t="shared" si="72"/>
        <v>0.16980329080396628</v>
      </c>
      <c r="HN56" s="45">
        <v>9</v>
      </c>
      <c r="HO56" s="41">
        <v>7.1952950369377003E-2</v>
      </c>
      <c r="HP56" s="41">
        <v>4.5092500415402081E-2</v>
      </c>
      <c r="HQ56" s="41">
        <v>5.404598373339372E-2</v>
      </c>
      <c r="IH56" s="45">
        <v>9</v>
      </c>
      <c r="II56" s="41">
        <v>7.1402336497741387E-2</v>
      </c>
      <c r="IJ56" s="41">
        <v>4.1709925357025224E-2</v>
      </c>
      <c r="IK56" s="41">
        <v>5.1607395737263945E-2</v>
      </c>
      <c r="JB56" s="45">
        <v>9</v>
      </c>
      <c r="JC56" s="41">
        <v>0.11326815323263692</v>
      </c>
      <c r="JD56" s="41">
        <v>8.2030906153685551E-2</v>
      </c>
      <c r="JE56" s="41">
        <v>9.2443321846669341E-2</v>
      </c>
      <c r="JV56">
        <v>9</v>
      </c>
      <c r="JW56" s="41">
        <v>0.10723815323263693</v>
      </c>
      <c r="JX56" s="41">
        <v>7.6000906153685543E-2</v>
      </c>
      <c r="JY56" s="41">
        <v>8.6413321846669333E-2</v>
      </c>
    </row>
    <row r="57" spans="131:285" ht="16">
      <c r="EA57">
        <v>0.16511999999999999</v>
      </c>
      <c r="GB57">
        <v>12</v>
      </c>
      <c r="GC57" s="41">
        <v>6.2762193559829663E-2</v>
      </c>
      <c r="GD57" s="41">
        <v>5.2837854552331545E-2</v>
      </c>
      <c r="GE57" s="41">
        <v>7.5682193559829664E-2</v>
      </c>
      <c r="GF57" s="41">
        <v>6.5757854552331546E-2</v>
      </c>
      <c r="GJ57"/>
      <c r="GT57" s="41">
        <v>10</v>
      </c>
      <c r="GU57" s="41">
        <v>0.11903908351012839</v>
      </c>
      <c r="GV57" s="41">
        <v>0.11453402280396628</v>
      </c>
      <c r="GW57" s="41">
        <v>0.11603570970602033</v>
      </c>
      <c r="GX57" s="41">
        <f t="shared" si="72"/>
        <v>0.17430835151012838</v>
      </c>
      <c r="GY57" s="41">
        <f t="shared" si="72"/>
        <v>0.16980329080396628</v>
      </c>
      <c r="HN57" s="45">
        <v>10</v>
      </c>
      <c r="HO57" s="41">
        <v>7.1952950369377003E-2</v>
      </c>
      <c r="HP57" s="41">
        <v>4.5092500415402081E-2</v>
      </c>
      <c r="HQ57" s="41">
        <v>5.404598373339372E-2</v>
      </c>
      <c r="IH57" s="45">
        <v>10</v>
      </c>
      <c r="II57" s="41">
        <v>7.1402336497741387E-2</v>
      </c>
      <c r="IJ57" s="41">
        <v>4.1709925357025224E-2</v>
      </c>
      <c r="IK57" s="41">
        <v>5.1607395737263945E-2</v>
      </c>
      <c r="JB57" s="45">
        <v>10</v>
      </c>
      <c r="JC57" s="41">
        <v>0.11326815323263692</v>
      </c>
      <c r="JD57" s="41">
        <v>8.2030906153685551E-2</v>
      </c>
      <c r="JE57" s="41">
        <v>9.2443321846669341E-2</v>
      </c>
      <c r="JV57">
        <v>10</v>
      </c>
      <c r="JW57" s="41">
        <v>0.10723815323263693</v>
      </c>
      <c r="JX57" s="41">
        <v>7.6000906153685543E-2</v>
      </c>
      <c r="JY57" s="41">
        <v>8.6413321846669333E-2</v>
      </c>
    </row>
    <row r="58" spans="131:285" ht="16">
      <c r="EA58">
        <v>0.16511999999999999</v>
      </c>
      <c r="GB58">
        <v>13</v>
      </c>
      <c r="GC58" s="41">
        <v>6.2762193559829663E-2</v>
      </c>
      <c r="GD58" s="41">
        <v>5.2837854552331545E-2</v>
      </c>
      <c r="GE58" s="41">
        <v>7.5682193559829664E-2</v>
      </c>
      <c r="GF58" s="41">
        <v>6.5757854552331546E-2</v>
      </c>
      <c r="GJ58"/>
      <c r="GT58" s="41">
        <v>11</v>
      </c>
      <c r="GU58" s="41">
        <v>0.11903908351012839</v>
      </c>
      <c r="GV58" s="41">
        <v>0.11453402280396628</v>
      </c>
      <c r="GW58" s="41">
        <v>0.11603570970602033</v>
      </c>
      <c r="GX58" s="41">
        <f t="shared" si="72"/>
        <v>0.17430835151012838</v>
      </c>
      <c r="GY58" s="41">
        <f t="shared" si="72"/>
        <v>0.16980329080396628</v>
      </c>
      <c r="HN58" s="45">
        <v>11</v>
      </c>
      <c r="HO58" s="41">
        <v>7.1952950369377003E-2</v>
      </c>
      <c r="HP58" s="41">
        <v>4.5092500415402081E-2</v>
      </c>
      <c r="HQ58" s="41">
        <v>5.404598373339372E-2</v>
      </c>
      <c r="IH58" s="45">
        <v>11</v>
      </c>
      <c r="II58" s="41">
        <v>7.1402336497741387E-2</v>
      </c>
      <c r="IJ58" s="41">
        <v>4.1709925357025224E-2</v>
      </c>
      <c r="IK58" s="41">
        <v>5.1607395737263945E-2</v>
      </c>
      <c r="JB58" s="45">
        <v>11</v>
      </c>
      <c r="JC58" s="41">
        <v>0.11326815323263692</v>
      </c>
      <c r="JD58" s="41">
        <v>8.2030906153685551E-2</v>
      </c>
      <c r="JE58" s="41">
        <v>9.2443321846669341E-2</v>
      </c>
      <c r="JV58">
        <v>11</v>
      </c>
      <c r="JW58" s="41">
        <v>0.10723815323263693</v>
      </c>
      <c r="JX58" s="41">
        <v>7.6000906153685543E-2</v>
      </c>
      <c r="JY58" s="41">
        <v>8.6413321846669333E-2</v>
      </c>
    </row>
    <row r="59" spans="131:285" ht="16">
      <c r="EA59">
        <v>0.16511999999999999</v>
      </c>
      <c r="GB59">
        <v>14</v>
      </c>
      <c r="GC59" s="41">
        <v>6.2762193559829663E-2</v>
      </c>
      <c r="GD59" s="41">
        <v>5.2837854552331545E-2</v>
      </c>
      <c r="GE59" s="41">
        <v>7.5682193559829664E-2</v>
      </c>
      <c r="GF59" s="41">
        <v>6.5757854552331546E-2</v>
      </c>
      <c r="GJ59"/>
      <c r="GT59" s="41">
        <v>12</v>
      </c>
      <c r="GU59" s="41">
        <v>0.11648038312364993</v>
      </c>
      <c r="GV59" s="41">
        <v>0.11449547119588765</v>
      </c>
      <c r="GW59" s="41">
        <v>0.11515710850514174</v>
      </c>
      <c r="GX59" s="41">
        <f t="shared" si="72"/>
        <v>0.17174965112364993</v>
      </c>
      <c r="GY59" s="41">
        <f t="shared" si="72"/>
        <v>0.16976473919588764</v>
      </c>
      <c r="HN59" s="45">
        <v>12</v>
      </c>
      <c r="HO59" s="41">
        <v>6.9684643048301326E-2</v>
      </c>
      <c r="HP59" s="41">
        <v>4.4089385476955116E-2</v>
      </c>
      <c r="HQ59" s="41">
        <v>5.2621138000737179E-2</v>
      </c>
      <c r="IH59" s="45">
        <v>12</v>
      </c>
      <c r="II59" s="41">
        <v>6.9225547180853567E-2</v>
      </c>
      <c r="IJ59" s="41">
        <v>4.106287174148316E-2</v>
      </c>
      <c r="IK59" s="41">
        <v>5.0450430221273296E-2</v>
      </c>
      <c r="JB59" s="45">
        <v>12</v>
      </c>
      <c r="JC59" s="41">
        <v>0.11082569744906362</v>
      </c>
      <c r="JD59" s="41">
        <v>8.1311496156979357E-2</v>
      </c>
      <c r="JE59" s="41">
        <v>9.1149563254340774E-2</v>
      </c>
      <c r="JV59">
        <v>12</v>
      </c>
      <c r="JW59" s="41">
        <v>0.10479569744906361</v>
      </c>
      <c r="JX59" s="41">
        <v>7.5281496156979349E-2</v>
      </c>
      <c r="JY59" s="41">
        <v>8.511956325434078E-2</v>
      </c>
    </row>
    <row r="60" spans="131:285" ht="16">
      <c r="EA60">
        <v>0.16511999999999999</v>
      </c>
      <c r="GB60">
        <v>15</v>
      </c>
      <c r="GC60" s="41">
        <v>6.2762193559829663E-2</v>
      </c>
      <c r="GD60" s="41">
        <v>5.2837854552331545E-2</v>
      </c>
      <c r="GE60" s="41">
        <v>7.5682193559829664E-2</v>
      </c>
      <c r="GF60" s="41">
        <v>6.5757854552331546E-2</v>
      </c>
      <c r="GJ60"/>
      <c r="GT60" s="41">
        <v>13</v>
      </c>
      <c r="GU60" s="41">
        <v>0.11648038312364993</v>
      </c>
      <c r="GV60" s="41">
        <v>0.11449547119588765</v>
      </c>
      <c r="GW60" s="41">
        <v>0.11515710850514174</v>
      </c>
      <c r="GX60" s="41">
        <f t="shared" si="72"/>
        <v>0.17174965112364993</v>
      </c>
      <c r="GY60" s="41">
        <f t="shared" si="72"/>
        <v>0.16976473919588764</v>
      </c>
      <c r="HN60" s="45">
        <v>13</v>
      </c>
      <c r="HO60" s="41">
        <v>6.9684643048301326E-2</v>
      </c>
      <c r="HP60" s="41">
        <v>4.4089385476955116E-2</v>
      </c>
      <c r="HQ60" s="41">
        <v>5.2621138000737179E-2</v>
      </c>
      <c r="IH60" s="45">
        <v>13</v>
      </c>
      <c r="II60" s="41">
        <v>6.9225547180853567E-2</v>
      </c>
      <c r="IJ60" s="41">
        <v>4.106287174148316E-2</v>
      </c>
      <c r="IK60" s="41">
        <v>5.0450430221273296E-2</v>
      </c>
      <c r="JB60" s="45">
        <v>13</v>
      </c>
      <c r="JC60" s="41">
        <v>0.11082569744906362</v>
      </c>
      <c r="JD60" s="41">
        <v>8.1311496156979357E-2</v>
      </c>
      <c r="JE60" s="41">
        <v>9.1149563254340774E-2</v>
      </c>
      <c r="JV60">
        <v>13</v>
      </c>
      <c r="JW60" s="41">
        <v>0.10479569744906361</v>
      </c>
      <c r="JX60" s="41">
        <v>7.5281496156979349E-2</v>
      </c>
      <c r="JY60" s="41">
        <v>8.511956325434078E-2</v>
      </c>
    </row>
    <row r="61" spans="131:285" ht="16">
      <c r="EA61">
        <v>0.16511999999999999</v>
      </c>
      <c r="GB61">
        <v>16</v>
      </c>
      <c r="GC61" s="41">
        <v>6.2715090462756445E-2</v>
      </c>
      <c r="GD61" s="41">
        <v>5.4123465560444908E-2</v>
      </c>
      <c r="GE61" s="41">
        <v>7.5635090462756446E-2</v>
      </c>
      <c r="GF61" s="41">
        <v>6.7043465560444909E-2</v>
      </c>
      <c r="GJ61"/>
      <c r="GT61" s="41">
        <v>14</v>
      </c>
      <c r="GU61" s="41">
        <v>0.11648038312364993</v>
      </c>
      <c r="GV61" s="41">
        <v>0.11449547119588765</v>
      </c>
      <c r="GW61" s="41">
        <v>0.11515710850514174</v>
      </c>
      <c r="GX61" s="41">
        <f t="shared" si="72"/>
        <v>0.17174965112364993</v>
      </c>
      <c r="GY61" s="41">
        <f t="shared" si="72"/>
        <v>0.16976473919588764</v>
      </c>
      <c r="HN61" s="45">
        <v>14</v>
      </c>
      <c r="HO61" s="41">
        <v>6.9684643048301326E-2</v>
      </c>
      <c r="HP61" s="41">
        <v>4.4089385476955116E-2</v>
      </c>
      <c r="HQ61" s="41">
        <v>5.2621138000737179E-2</v>
      </c>
      <c r="IH61" s="45">
        <v>14</v>
      </c>
      <c r="II61" s="41">
        <v>6.9225547180853567E-2</v>
      </c>
      <c r="IJ61" s="41">
        <v>4.106287174148316E-2</v>
      </c>
      <c r="IK61" s="41">
        <v>5.0450430221273296E-2</v>
      </c>
      <c r="JB61" s="45">
        <v>14</v>
      </c>
      <c r="JC61" s="41">
        <v>0.11082569744906362</v>
      </c>
      <c r="JD61" s="41">
        <v>8.1311496156979357E-2</v>
      </c>
      <c r="JE61" s="41">
        <v>9.1149563254340774E-2</v>
      </c>
      <c r="JV61">
        <v>14</v>
      </c>
      <c r="JW61" s="41">
        <v>0.10479569744906361</v>
      </c>
      <c r="JX61" s="41">
        <v>7.5281496156979349E-2</v>
      </c>
      <c r="JY61" s="41">
        <v>8.511956325434078E-2</v>
      </c>
    </row>
    <row r="62" spans="131:285" ht="16">
      <c r="EA62">
        <v>0.16511999999999999</v>
      </c>
      <c r="GB62">
        <v>17</v>
      </c>
      <c r="GC62" s="41">
        <v>6.2715090462756445E-2</v>
      </c>
      <c r="GD62" s="41">
        <v>5.4123465560444908E-2</v>
      </c>
      <c r="GE62" s="41">
        <v>7.5635090462756446E-2</v>
      </c>
      <c r="GF62" s="41">
        <v>6.7043465560444909E-2</v>
      </c>
      <c r="GJ62"/>
      <c r="GT62" s="41">
        <v>15</v>
      </c>
      <c r="GU62" s="41">
        <v>0.11648038312364993</v>
      </c>
      <c r="GV62" s="41">
        <v>0.11449547119588765</v>
      </c>
      <c r="GW62" s="41">
        <v>0.11515710850514174</v>
      </c>
      <c r="GX62" s="41">
        <f t="shared" si="72"/>
        <v>0.17174965112364993</v>
      </c>
      <c r="GY62" s="41">
        <f t="shared" si="72"/>
        <v>0.16976473919588764</v>
      </c>
      <c r="HN62" s="45">
        <v>15</v>
      </c>
      <c r="HO62" s="41">
        <v>6.9684643048301326E-2</v>
      </c>
      <c r="HP62" s="41">
        <v>4.4089385476955116E-2</v>
      </c>
      <c r="HQ62" s="41">
        <v>5.2621138000737179E-2</v>
      </c>
      <c r="IH62" s="45">
        <v>15</v>
      </c>
      <c r="II62" s="41">
        <v>6.9225547180853567E-2</v>
      </c>
      <c r="IJ62" s="41">
        <v>4.106287174148316E-2</v>
      </c>
      <c r="IK62" s="41">
        <v>5.0450430221273296E-2</v>
      </c>
      <c r="JB62" s="45">
        <v>15</v>
      </c>
      <c r="JC62" s="41">
        <v>0.11082569744906362</v>
      </c>
      <c r="JD62" s="41">
        <v>8.1311496156979357E-2</v>
      </c>
      <c r="JE62" s="41">
        <v>9.1149563254340774E-2</v>
      </c>
      <c r="JV62">
        <v>15</v>
      </c>
      <c r="JW62" s="41">
        <v>0.10479569744906361</v>
      </c>
      <c r="JX62" s="41">
        <v>7.5281496156979349E-2</v>
      </c>
      <c r="JY62" s="41">
        <v>8.511956325434078E-2</v>
      </c>
    </row>
    <row r="63" spans="131:285" ht="16">
      <c r="EA63">
        <v>0.16511999999999999</v>
      </c>
      <c r="GB63">
        <v>18</v>
      </c>
      <c r="GC63" s="41">
        <v>6.2715090462756445E-2</v>
      </c>
      <c r="GD63" s="41">
        <v>5.4123465560444908E-2</v>
      </c>
      <c r="GE63" s="41">
        <v>7.5635090462756446E-2</v>
      </c>
      <c r="GF63" s="41">
        <v>6.7043465560444909E-2</v>
      </c>
      <c r="GJ63"/>
      <c r="GT63" s="41">
        <v>16</v>
      </c>
      <c r="GU63" s="41">
        <v>0.11635880155322625</v>
      </c>
      <c r="GV63" s="41">
        <v>0.11519224111870427</v>
      </c>
      <c r="GW63" s="41">
        <v>0.11558109459687825</v>
      </c>
      <c r="GX63" s="41">
        <f t="shared" si="72"/>
        <v>0.17162806955322624</v>
      </c>
      <c r="GY63" s="41">
        <f t="shared" si="72"/>
        <v>0.17046150911870428</v>
      </c>
      <c r="HN63" s="45">
        <v>16</v>
      </c>
      <c r="HO63" s="41">
        <v>7.0887440726166956E-2</v>
      </c>
      <c r="HP63" s="41">
        <v>4.7294839591450206E-2</v>
      </c>
      <c r="HQ63" s="41">
        <v>5.5159039969689121E-2</v>
      </c>
      <c r="IH63" s="45">
        <v>16</v>
      </c>
      <c r="II63" s="41">
        <v>7.0317084006799369E-2</v>
      </c>
      <c r="IJ63" s="41">
        <v>4.4074666244529929E-2</v>
      </c>
      <c r="IK63" s="41">
        <v>5.2822138831953067E-2</v>
      </c>
      <c r="JB63" s="45">
        <v>16</v>
      </c>
      <c r="JC63" s="41">
        <v>0.1115544983413326</v>
      </c>
      <c r="JD63" s="41">
        <v>8.4042357417831268E-2</v>
      </c>
      <c r="JE63" s="41">
        <v>9.321307105899837E-2</v>
      </c>
      <c r="JV63">
        <v>16</v>
      </c>
      <c r="JW63" s="41">
        <v>0.1055244983413326</v>
      </c>
      <c r="JX63" s="41">
        <v>7.8012357417831274E-2</v>
      </c>
      <c r="JY63" s="41">
        <v>8.7183071058998363E-2</v>
      </c>
    </row>
    <row r="64" spans="131:285" ht="16">
      <c r="EA64">
        <v>0.16511999999999999</v>
      </c>
      <c r="GB64">
        <v>19</v>
      </c>
      <c r="GC64" s="41">
        <v>6.2715090462756445E-2</v>
      </c>
      <c r="GD64" s="41">
        <v>5.4123465560444908E-2</v>
      </c>
      <c r="GE64" s="41">
        <v>7.5635090462756446E-2</v>
      </c>
      <c r="GF64" s="41">
        <v>6.7043465560444909E-2</v>
      </c>
      <c r="GJ64"/>
      <c r="GT64" s="41">
        <v>17</v>
      </c>
      <c r="GU64" s="41">
        <v>0.11635880155322625</v>
      </c>
      <c r="GV64" s="41">
        <v>0.11519224111870427</v>
      </c>
      <c r="GW64" s="41">
        <v>0.11558109459687825</v>
      </c>
      <c r="GX64" s="41">
        <f t="shared" si="72"/>
        <v>0.17162806955322624</v>
      </c>
      <c r="GY64" s="41">
        <f t="shared" si="72"/>
        <v>0.17046150911870428</v>
      </c>
      <c r="HN64" s="45">
        <v>17</v>
      </c>
      <c r="HO64" s="41">
        <v>7.0887440726166956E-2</v>
      </c>
      <c r="HP64" s="41">
        <v>4.7294839591450206E-2</v>
      </c>
      <c r="HQ64" s="41">
        <v>5.5159039969689121E-2</v>
      </c>
      <c r="IH64" s="45">
        <v>17</v>
      </c>
      <c r="II64" s="41">
        <v>7.0317084006799369E-2</v>
      </c>
      <c r="IJ64" s="41">
        <v>4.4074666244529929E-2</v>
      </c>
      <c r="IK64" s="41">
        <v>5.2822138831953067E-2</v>
      </c>
      <c r="JB64" s="45">
        <v>17</v>
      </c>
      <c r="JC64" s="41">
        <v>0.1115544983413326</v>
      </c>
      <c r="JD64" s="41">
        <v>8.4042357417831268E-2</v>
      </c>
      <c r="JE64" s="41">
        <v>9.321307105899837E-2</v>
      </c>
      <c r="JV64">
        <v>17</v>
      </c>
      <c r="JW64" s="41">
        <v>0.1055244983413326</v>
      </c>
      <c r="JX64" s="41">
        <v>7.8012357417831274E-2</v>
      </c>
      <c r="JY64" s="41">
        <v>8.7183071058998363E-2</v>
      </c>
    </row>
    <row r="65" spans="131:285" ht="16">
      <c r="EA65">
        <v>0.16511999999999999</v>
      </c>
      <c r="GB65">
        <v>20</v>
      </c>
      <c r="GC65" s="41">
        <v>6.6771046006422918E-2</v>
      </c>
      <c r="GD65" s="41">
        <v>5.7289390743265341E-2</v>
      </c>
      <c r="GE65" s="41">
        <v>7.9691046006422919E-2</v>
      </c>
      <c r="GF65" s="41">
        <v>7.0209390743265335E-2</v>
      </c>
      <c r="GJ65"/>
      <c r="GT65" s="41">
        <v>18</v>
      </c>
      <c r="GU65" s="41">
        <v>0.11635880155322625</v>
      </c>
      <c r="GV65" s="41">
        <v>0.11519224111870427</v>
      </c>
      <c r="GW65" s="41">
        <v>0.11558109459687825</v>
      </c>
      <c r="GX65" s="41">
        <f t="shared" si="72"/>
        <v>0.17162806955322624</v>
      </c>
      <c r="GY65" s="41">
        <f t="shared" si="72"/>
        <v>0.17046150911870428</v>
      </c>
      <c r="HN65" s="45">
        <v>18</v>
      </c>
      <c r="HO65" s="41">
        <v>7.0887440726166956E-2</v>
      </c>
      <c r="HP65" s="41">
        <v>4.7294839591450206E-2</v>
      </c>
      <c r="HQ65" s="41">
        <v>5.5159039969689121E-2</v>
      </c>
      <c r="IH65" s="45">
        <v>18</v>
      </c>
      <c r="II65" s="41">
        <v>7.0317084006799369E-2</v>
      </c>
      <c r="IJ65" s="41">
        <v>4.4074666244529929E-2</v>
      </c>
      <c r="IK65" s="41">
        <v>5.2822138831953067E-2</v>
      </c>
      <c r="JB65" s="45">
        <v>18</v>
      </c>
      <c r="JC65" s="41">
        <v>0.1115544983413326</v>
      </c>
      <c r="JD65" s="41">
        <v>8.4042357417831268E-2</v>
      </c>
      <c r="JE65" s="41">
        <v>9.321307105899837E-2</v>
      </c>
      <c r="JV65">
        <v>18</v>
      </c>
      <c r="JW65" s="41">
        <v>0.1055244983413326</v>
      </c>
      <c r="JX65" s="41">
        <v>7.8012357417831274E-2</v>
      </c>
      <c r="JY65" s="41">
        <v>8.7183071058998363E-2</v>
      </c>
    </row>
    <row r="66" spans="131:285" ht="16">
      <c r="EA66">
        <v>0.16511999999999999</v>
      </c>
      <c r="GB66">
        <v>21</v>
      </c>
      <c r="GC66" s="41">
        <v>6.6771046006422918E-2</v>
      </c>
      <c r="GD66" s="41">
        <v>5.7289390743265341E-2</v>
      </c>
      <c r="GE66" s="41">
        <v>7.9691046006422919E-2</v>
      </c>
      <c r="GF66" s="41">
        <v>7.0209390743265335E-2</v>
      </c>
      <c r="GJ66"/>
      <c r="GT66" s="41">
        <v>19</v>
      </c>
      <c r="GU66" s="41">
        <v>0.11635880155322625</v>
      </c>
      <c r="GV66" s="41">
        <v>0.11519224111870427</v>
      </c>
      <c r="GW66" s="41">
        <v>0.11558109459687825</v>
      </c>
      <c r="GX66" s="41">
        <f t="shared" si="72"/>
        <v>0.17162806955322624</v>
      </c>
      <c r="GY66" s="41">
        <f t="shared" si="72"/>
        <v>0.17046150911870428</v>
      </c>
      <c r="HN66" s="45">
        <v>19</v>
      </c>
      <c r="HO66" s="41">
        <v>7.0887440726166956E-2</v>
      </c>
      <c r="HP66" s="41">
        <v>4.7294839591450206E-2</v>
      </c>
      <c r="HQ66" s="41">
        <v>5.5159039969689121E-2</v>
      </c>
      <c r="IH66" s="45">
        <v>19</v>
      </c>
      <c r="II66" s="41">
        <v>7.0317084006799369E-2</v>
      </c>
      <c r="IJ66" s="41">
        <v>4.4074666244529929E-2</v>
      </c>
      <c r="IK66" s="41">
        <v>5.2822138831953067E-2</v>
      </c>
      <c r="JB66" s="45">
        <v>19</v>
      </c>
      <c r="JC66" s="41">
        <v>0.1115544983413326</v>
      </c>
      <c r="JD66" s="41">
        <v>8.4042357417831268E-2</v>
      </c>
      <c r="JE66" s="41">
        <v>9.321307105899837E-2</v>
      </c>
      <c r="JV66">
        <v>19</v>
      </c>
      <c r="JW66" s="41">
        <v>0.1055244983413326</v>
      </c>
      <c r="JX66" s="41">
        <v>7.8012357417831274E-2</v>
      </c>
      <c r="JY66" s="41">
        <v>8.7183071058998363E-2</v>
      </c>
    </row>
    <row r="67" spans="131:285" ht="16">
      <c r="EA67">
        <v>0.16511999999999999</v>
      </c>
      <c r="GB67">
        <v>22</v>
      </c>
      <c r="GC67" s="41">
        <v>6.6771046006422918E-2</v>
      </c>
      <c r="GD67" s="41">
        <v>5.7289390743265341E-2</v>
      </c>
      <c r="GE67" s="41">
        <v>7.9691046006422919E-2</v>
      </c>
      <c r="GF67" s="41">
        <v>7.0209390743265335E-2</v>
      </c>
      <c r="GJ67"/>
      <c r="GT67" s="41">
        <v>20</v>
      </c>
      <c r="GU67" s="41">
        <v>0.11906861319567281</v>
      </c>
      <c r="GV67" s="41">
        <v>0.11913895545652967</v>
      </c>
      <c r="GW67" s="41">
        <v>0.11911550803624406</v>
      </c>
      <c r="GX67" s="41">
        <f t="shared" si="72"/>
        <v>0.17433788119567281</v>
      </c>
      <c r="GY67" s="41">
        <f t="shared" si="72"/>
        <v>0.17440822345652968</v>
      </c>
      <c r="HN67" s="45">
        <v>20</v>
      </c>
      <c r="HO67" s="41">
        <v>7.6526206636434224E-2</v>
      </c>
      <c r="HP67" s="41">
        <v>5.448564879555453E-2</v>
      </c>
      <c r="HQ67" s="41">
        <v>6.1832501409181104E-2</v>
      </c>
      <c r="IH67" s="45">
        <v>20</v>
      </c>
      <c r="II67" s="41">
        <v>7.6117783867400715E-2</v>
      </c>
      <c r="IJ67" s="41">
        <v>5.065505526759246E-2</v>
      </c>
      <c r="IK67" s="41">
        <v>5.9142631467528552E-2</v>
      </c>
      <c r="JB67" s="45">
        <v>20</v>
      </c>
      <c r="JC67" s="41">
        <v>0.11687041088779881</v>
      </c>
      <c r="JD67" s="41">
        <v>8.9555378475408204E-2</v>
      </c>
      <c r="JE67" s="41">
        <v>9.8660389279538407E-2</v>
      </c>
      <c r="JV67">
        <v>20</v>
      </c>
      <c r="JW67" s="41">
        <v>0.11084041088779881</v>
      </c>
      <c r="JX67" s="41">
        <v>8.3525378475408196E-2</v>
      </c>
      <c r="JY67" s="41">
        <v>9.26303892795384E-2</v>
      </c>
    </row>
    <row r="68" spans="131:285" ht="16">
      <c r="EA68">
        <v>0.16511999999999999</v>
      </c>
      <c r="GB68">
        <v>23</v>
      </c>
      <c r="GC68" s="41">
        <v>6.6771046006422918E-2</v>
      </c>
      <c r="GD68" s="41">
        <v>5.7289390743265341E-2</v>
      </c>
      <c r="GE68" s="41">
        <v>7.9691046006422919E-2</v>
      </c>
      <c r="GF68" s="41">
        <v>7.0209390743265335E-2</v>
      </c>
      <c r="GJ68"/>
      <c r="GT68" s="41">
        <v>21</v>
      </c>
      <c r="GU68" s="41">
        <v>0.11906861319567281</v>
      </c>
      <c r="GV68" s="41">
        <v>0.11913895545652967</v>
      </c>
      <c r="GW68" s="41">
        <v>0.11911550803624406</v>
      </c>
      <c r="GX68" s="41">
        <f t="shared" si="72"/>
        <v>0.17433788119567281</v>
      </c>
      <c r="GY68" s="41">
        <f t="shared" si="72"/>
        <v>0.17440822345652968</v>
      </c>
      <c r="HN68" s="45">
        <v>21</v>
      </c>
      <c r="HO68" s="41">
        <v>7.6526206636434224E-2</v>
      </c>
      <c r="HP68" s="41">
        <v>5.448564879555453E-2</v>
      </c>
      <c r="HQ68" s="41">
        <v>6.1832501409181104E-2</v>
      </c>
      <c r="IH68" s="45">
        <v>21</v>
      </c>
      <c r="II68" s="41">
        <v>7.6117783867400715E-2</v>
      </c>
      <c r="IJ68" s="41">
        <v>5.065505526759246E-2</v>
      </c>
      <c r="IK68" s="41">
        <v>5.9142631467528552E-2</v>
      </c>
      <c r="JB68" s="45">
        <v>21</v>
      </c>
      <c r="JC68" s="41">
        <v>0.11687041088779881</v>
      </c>
      <c r="JD68" s="41">
        <v>8.9555378475408204E-2</v>
      </c>
      <c r="JE68" s="41">
        <v>9.8660389279538407E-2</v>
      </c>
      <c r="JV68">
        <v>21</v>
      </c>
      <c r="JW68" s="41">
        <v>0.11084041088779881</v>
      </c>
      <c r="JX68" s="41">
        <v>8.3525378475408196E-2</v>
      </c>
      <c r="JY68" s="41">
        <v>9.26303892795384E-2</v>
      </c>
    </row>
    <row r="69" spans="131:285" ht="16">
      <c r="EA69">
        <v>0.16511999999999999</v>
      </c>
      <c r="GB69">
        <v>24</v>
      </c>
      <c r="GC69" s="41">
        <v>7.4893220633752117E-2</v>
      </c>
      <c r="GD69" s="41">
        <v>6.6656980064397478E-2</v>
      </c>
      <c r="GE69" s="41">
        <v>8.7813220633752118E-2</v>
      </c>
      <c r="GF69" s="41">
        <v>7.9576980064397479E-2</v>
      </c>
      <c r="GJ69"/>
      <c r="GT69" s="41">
        <v>22</v>
      </c>
      <c r="GU69" s="41">
        <v>0.11906861319567281</v>
      </c>
      <c r="GV69" s="41">
        <v>0.11913895545652967</v>
      </c>
      <c r="GW69" s="41">
        <v>0.11911550803624406</v>
      </c>
      <c r="GX69" s="41">
        <f t="shared" si="72"/>
        <v>0.17433788119567281</v>
      </c>
      <c r="GY69" s="41">
        <f t="shared" si="72"/>
        <v>0.17440822345652968</v>
      </c>
      <c r="HN69" s="45">
        <v>22</v>
      </c>
      <c r="HO69" s="41">
        <v>7.6526206636434224E-2</v>
      </c>
      <c r="HP69" s="41">
        <v>5.448564879555453E-2</v>
      </c>
      <c r="HQ69" s="41">
        <v>6.1832501409181104E-2</v>
      </c>
      <c r="IH69" s="45">
        <v>22</v>
      </c>
      <c r="II69" s="41">
        <v>7.6117783867400715E-2</v>
      </c>
      <c r="IJ69" s="41">
        <v>5.065505526759246E-2</v>
      </c>
      <c r="IK69" s="41">
        <v>5.9142631467528552E-2</v>
      </c>
      <c r="JB69" s="45">
        <v>22</v>
      </c>
      <c r="JC69" s="41">
        <v>0.11687041088779881</v>
      </c>
      <c r="JD69" s="41">
        <v>8.9555378475408204E-2</v>
      </c>
      <c r="JE69" s="41">
        <v>9.8660389279538407E-2</v>
      </c>
      <c r="JV69">
        <v>22</v>
      </c>
      <c r="JW69" s="41">
        <v>0.11084041088779881</v>
      </c>
      <c r="JX69" s="41">
        <v>8.3525378475408196E-2</v>
      </c>
      <c r="JY69" s="41">
        <v>9.26303892795384E-2</v>
      </c>
    </row>
    <row r="70" spans="131:285" ht="16">
      <c r="EA70">
        <v>0.16511999999999999</v>
      </c>
      <c r="GB70">
        <v>25</v>
      </c>
      <c r="GC70" s="41">
        <v>7.4893220633752117E-2</v>
      </c>
      <c r="GD70" s="41">
        <v>6.6656980064397478E-2</v>
      </c>
      <c r="GE70" s="41">
        <v>8.7813220633752118E-2</v>
      </c>
      <c r="GF70" s="41">
        <v>7.9576980064397479E-2</v>
      </c>
      <c r="GJ70"/>
      <c r="GT70" s="41">
        <v>23</v>
      </c>
      <c r="GU70" s="41">
        <v>0.11906861319567281</v>
      </c>
      <c r="GV70" s="41">
        <v>0.11913895545652967</v>
      </c>
      <c r="GW70" s="41">
        <v>0.11911550803624406</v>
      </c>
      <c r="GX70" s="41">
        <f t="shared" si="72"/>
        <v>0.17433788119567281</v>
      </c>
      <c r="GY70" s="41">
        <f t="shared" si="72"/>
        <v>0.17440822345652968</v>
      </c>
      <c r="HN70" s="45">
        <v>23</v>
      </c>
      <c r="HO70" s="41">
        <v>7.6526206636434224E-2</v>
      </c>
      <c r="HP70" s="41">
        <v>5.448564879555453E-2</v>
      </c>
      <c r="HQ70" s="41">
        <v>6.1832501409181104E-2</v>
      </c>
      <c r="IH70" s="45">
        <v>23</v>
      </c>
      <c r="II70" s="41">
        <v>7.6117783867400715E-2</v>
      </c>
      <c r="IJ70" s="41">
        <v>5.065505526759246E-2</v>
      </c>
      <c r="IK70" s="41">
        <v>5.9142631467528552E-2</v>
      </c>
      <c r="JB70" s="45">
        <v>23</v>
      </c>
      <c r="JC70" s="41">
        <v>0.11687041088779881</v>
      </c>
      <c r="JD70" s="41">
        <v>8.9555378475408204E-2</v>
      </c>
      <c r="JE70" s="41">
        <v>9.8660389279538407E-2</v>
      </c>
      <c r="JV70">
        <v>23</v>
      </c>
      <c r="JW70" s="41">
        <v>0.11084041088779881</v>
      </c>
      <c r="JX70" s="41">
        <v>8.3525378475408196E-2</v>
      </c>
      <c r="JY70" s="41">
        <v>9.26303892795384E-2</v>
      </c>
    </row>
    <row r="71" spans="131:285" ht="16">
      <c r="EA71">
        <v>0.16511999999999999</v>
      </c>
      <c r="GB71">
        <v>26</v>
      </c>
      <c r="GC71" s="41">
        <v>7.4893220633752117E-2</v>
      </c>
      <c r="GD71" s="41">
        <v>6.6656980064397478E-2</v>
      </c>
      <c r="GE71" s="41">
        <v>8.7813220633752118E-2</v>
      </c>
      <c r="GF71" s="41">
        <v>7.9576980064397479E-2</v>
      </c>
      <c r="GJ71"/>
      <c r="GT71" s="41">
        <v>24</v>
      </c>
      <c r="GU71" s="41">
        <v>0.12627147533092289</v>
      </c>
      <c r="GV71" s="41">
        <v>0.13191391941926842</v>
      </c>
      <c r="GW71" s="41">
        <v>0.13003310472315324</v>
      </c>
      <c r="GX71" s="41">
        <f t="shared" si="72"/>
        <v>0.1815407433309229</v>
      </c>
      <c r="GY71" s="41">
        <f t="shared" si="72"/>
        <v>0.18718318741926843</v>
      </c>
      <c r="HN71" s="45">
        <v>24</v>
      </c>
      <c r="HO71" s="41">
        <v>8.1845806556441747E-2</v>
      </c>
      <c r="HP71" s="41">
        <v>8.4846713974714161E-2</v>
      </c>
      <c r="HQ71" s="41">
        <v>8.384641150195668E-2</v>
      </c>
      <c r="IH71" s="45">
        <v>24</v>
      </c>
      <c r="II71" s="41">
        <v>8.1256824457698107E-2</v>
      </c>
      <c r="IJ71" s="41">
        <v>8.1148045283973277E-2</v>
      </c>
      <c r="IK71" s="41">
        <v>8.118430500854823E-2</v>
      </c>
      <c r="JB71" s="45">
        <v>24</v>
      </c>
      <c r="JC71" s="41">
        <v>0.12189050826098721</v>
      </c>
      <c r="JD71" s="41">
        <v>0.11874989102496236</v>
      </c>
      <c r="JE71" s="41">
        <v>0.11979676343697065</v>
      </c>
      <c r="JV71">
        <v>24</v>
      </c>
      <c r="JW71" s="41">
        <v>0.11586050826098721</v>
      </c>
      <c r="JX71" s="41">
        <v>0.11271989102496237</v>
      </c>
      <c r="JY71" s="41">
        <v>0.11376676343697065</v>
      </c>
    </row>
    <row r="72" spans="131:285" ht="16">
      <c r="EA72">
        <v>0.16511999999999999</v>
      </c>
      <c r="GB72">
        <v>27</v>
      </c>
      <c r="GC72" s="41">
        <v>7.4893220633752117E-2</v>
      </c>
      <c r="GD72" s="41">
        <v>6.6656980064397478E-2</v>
      </c>
      <c r="GE72" s="41">
        <v>8.7813220633752118E-2</v>
      </c>
      <c r="GF72" s="41">
        <v>7.9576980064397479E-2</v>
      </c>
      <c r="GJ72"/>
      <c r="GT72" s="41">
        <v>25</v>
      </c>
      <c r="GU72" s="41">
        <v>0.12627147533092289</v>
      </c>
      <c r="GV72" s="41">
        <v>0.13191391941926842</v>
      </c>
      <c r="GW72" s="41">
        <v>0.13003310472315324</v>
      </c>
      <c r="GX72" s="41">
        <f t="shared" si="72"/>
        <v>0.1815407433309229</v>
      </c>
      <c r="GY72" s="41">
        <f t="shared" si="72"/>
        <v>0.18718318741926843</v>
      </c>
      <c r="HN72" s="45">
        <v>25</v>
      </c>
      <c r="HO72" s="41">
        <v>8.1845806556441747E-2</v>
      </c>
      <c r="HP72" s="41">
        <v>8.4846713974714161E-2</v>
      </c>
      <c r="HQ72" s="41">
        <v>8.384641150195668E-2</v>
      </c>
      <c r="IH72" s="45">
        <v>25</v>
      </c>
      <c r="II72" s="41">
        <v>8.1256824457698107E-2</v>
      </c>
      <c r="IJ72" s="41">
        <v>8.1148045283973277E-2</v>
      </c>
      <c r="IK72" s="41">
        <v>8.118430500854823E-2</v>
      </c>
      <c r="JB72" s="45">
        <v>25</v>
      </c>
      <c r="JC72" s="41">
        <v>0.12189050826098721</v>
      </c>
      <c r="JD72" s="41">
        <v>0.11874989102496236</v>
      </c>
      <c r="JE72" s="41">
        <v>0.11979676343697065</v>
      </c>
      <c r="JV72">
        <v>25</v>
      </c>
      <c r="JW72" s="41">
        <v>0.11586050826098721</v>
      </c>
      <c r="JX72" s="41">
        <v>0.11271989102496237</v>
      </c>
      <c r="JY72" s="41">
        <v>0.11376676343697065</v>
      </c>
    </row>
    <row r="73" spans="131:285" ht="16">
      <c r="EA73">
        <v>0.16511999999999999</v>
      </c>
      <c r="GB73">
        <v>28</v>
      </c>
      <c r="GC73" s="41">
        <v>7.9086589434594387E-2</v>
      </c>
      <c r="GD73" s="41">
        <v>7.3648731833856812E-2</v>
      </c>
      <c r="GE73" s="41">
        <v>9.2006589434594388E-2</v>
      </c>
      <c r="GF73" s="41">
        <v>8.6568731833856813E-2</v>
      </c>
      <c r="GJ73"/>
      <c r="GT73" s="41">
        <v>26</v>
      </c>
      <c r="GU73" s="41">
        <v>0.12627147533092289</v>
      </c>
      <c r="GV73" s="41">
        <v>0.13191391941926842</v>
      </c>
      <c r="GW73" s="41">
        <v>0.13003310472315324</v>
      </c>
      <c r="GX73" s="41">
        <f t="shared" si="72"/>
        <v>0.1815407433309229</v>
      </c>
      <c r="GY73" s="41">
        <f t="shared" si="72"/>
        <v>0.18718318741926843</v>
      </c>
      <c r="HN73" s="45">
        <v>26</v>
      </c>
      <c r="HO73" s="41">
        <v>8.1845806556441747E-2</v>
      </c>
      <c r="HP73" s="41">
        <v>8.4846713974714161E-2</v>
      </c>
      <c r="HQ73" s="41">
        <v>8.384641150195668E-2</v>
      </c>
      <c r="IH73" s="45">
        <v>26</v>
      </c>
      <c r="II73" s="41">
        <v>8.1256824457698107E-2</v>
      </c>
      <c r="IJ73" s="41">
        <v>8.1148045283973277E-2</v>
      </c>
      <c r="IK73" s="41">
        <v>8.118430500854823E-2</v>
      </c>
      <c r="JB73" s="45">
        <v>26</v>
      </c>
      <c r="JC73" s="41">
        <v>0.12189050826098721</v>
      </c>
      <c r="JD73" s="41">
        <v>0.11874989102496236</v>
      </c>
      <c r="JE73" s="41">
        <v>0.11979676343697065</v>
      </c>
      <c r="JV73">
        <v>26</v>
      </c>
      <c r="JW73" s="41">
        <v>0.11586050826098721</v>
      </c>
      <c r="JX73" s="41">
        <v>0.11271989102496237</v>
      </c>
      <c r="JY73" s="41">
        <v>0.11376676343697065</v>
      </c>
    </row>
    <row r="74" spans="131:285" ht="16">
      <c r="EA74">
        <v>0.16511999999999999</v>
      </c>
      <c r="GB74">
        <v>29</v>
      </c>
      <c r="GC74" s="41">
        <v>7.9086589434594387E-2</v>
      </c>
      <c r="GD74" s="41">
        <v>7.3648731833856812E-2</v>
      </c>
      <c r="GE74" s="41">
        <v>9.2006589434594388E-2</v>
      </c>
      <c r="GF74" s="41">
        <v>8.6568731833856813E-2</v>
      </c>
      <c r="GJ74"/>
      <c r="GT74" s="41">
        <v>27</v>
      </c>
      <c r="GU74" s="41">
        <v>0.12627147533092289</v>
      </c>
      <c r="GV74" s="41">
        <v>0.13191391941926842</v>
      </c>
      <c r="GW74" s="41">
        <v>0.13003310472315324</v>
      </c>
      <c r="GX74" s="41">
        <f t="shared" si="72"/>
        <v>0.1815407433309229</v>
      </c>
      <c r="GY74" s="41">
        <f t="shared" si="72"/>
        <v>0.18718318741926843</v>
      </c>
      <c r="HN74" s="45">
        <v>27</v>
      </c>
      <c r="HO74" s="41">
        <v>8.1845806556441747E-2</v>
      </c>
      <c r="HP74" s="41">
        <v>8.4846713974714161E-2</v>
      </c>
      <c r="HQ74" s="41">
        <v>8.384641150195668E-2</v>
      </c>
      <c r="IH74" s="45">
        <v>27</v>
      </c>
      <c r="II74" s="41">
        <v>8.1256824457698107E-2</v>
      </c>
      <c r="IJ74" s="41">
        <v>8.1148045283973277E-2</v>
      </c>
      <c r="IK74" s="41">
        <v>8.118430500854823E-2</v>
      </c>
      <c r="JB74" s="45">
        <v>27</v>
      </c>
      <c r="JC74" s="41">
        <v>0.12189050826098721</v>
      </c>
      <c r="JD74" s="41">
        <v>0.11874989102496236</v>
      </c>
      <c r="JE74" s="41">
        <v>0.11979676343697065</v>
      </c>
      <c r="JV74">
        <v>27</v>
      </c>
      <c r="JW74" s="41">
        <v>0.11586050826098721</v>
      </c>
      <c r="JX74" s="41">
        <v>0.11271989102496237</v>
      </c>
      <c r="JY74" s="41">
        <v>0.11376676343697065</v>
      </c>
    </row>
    <row r="75" spans="131:285" ht="16">
      <c r="EA75">
        <v>0.16511999999999999</v>
      </c>
      <c r="GB75">
        <v>30</v>
      </c>
      <c r="GC75" s="41">
        <v>7.9086589434594387E-2</v>
      </c>
      <c r="GD75" s="41">
        <v>7.3648731833856812E-2</v>
      </c>
      <c r="GE75" s="41">
        <v>9.2006589434594388E-2</v>
      </c>
      <c r="GF75" s="41">
        <v>8.6568731833856813E-2</v>
      </c>
      <c r="GJ75"/>
      <c r="GT75" s="41">
        <v>28</v>
      </c>
      <c r="GU75" s="41">
        <v>0.13222577777205302</v>
      </c>
      <c r="GV75" s="41">
        <v>0.14371199993584974</v>
      </c>
      <c r="GW75" s="41">
        <v>0.13988325921458417</v>
      </c>
      <c r="GX75" s="41">
        <f t="shared" si="72"/>
        <v>0.187495045772053</v>
      </c>
      <c r="GY75" s="41">
        <f t="shared" si="72"/>
        <v>0.19898126793584975</v>
      </c>
      <c r="HN75" s="45">
        <v>28</v>
      </c>
      <c r="HO75" s="41">
        <v>8.3112267286608324E-2</v>
      </c>
      <c r="HP75" s="41">
        <v>8.7703164720526319E-2</v>
      </c>
      <c r="HQ75" s="41">
        <v>8.6172865575886992E-2</v>
      </c>
      <c r="IH75" s="45">
        <v>28</v>
      </c>
      <c r="II75" s="41">
        <v>8.0412242991836066E-2</v>
      </c>
      <c r="IJ75" s="41">
        <v>8.6327049072587286E-2</v>
      </c>
      <c r="IK75" s="41">
        <v>8.4355447045670218E-2</v>
      </c>
      <c r="JB75" s="45">
        <v>28</v>
      </c>
      <c r="JC75" s="41">
        <v>0.12169198709239129</v>
      </c>
      <c r="JD75" s="41">
        <v>0.12372219417584226</v>
      </c>
      <c r="JE75" s="41">
        <v>0.12304545848135862</v>
      </c>
      <c r="JV75">
        <v>28</v>
      </c>
      <c r="JW75" s="41">
        <v>0.1156619870923913</v>
      </c>
      <c r="JX75" s="41">
        <v>0.11769219417584227</v>
      </c>
      <c r="JY75" s="41">
        <v>0.11701545848135861</v>
      </c>
    </row>
    <row r="76" spans="131:285" ht="16">
      <c r="EA76">
        <v>0.16511999999999999</v>
      </c>
      <c r="GB76">
        <v>31</v>
      </c>
      <c r="GC76" s="41">
        <v>7.9086589434594387E-2</v>
      </c>
      <c r="GD76" s="41">
        <v>7.3648731833856812E-2</v>
      </c>
      <c r="GE76" s="41">
        <v>9.2006589434594388E-2</v>
      </c>
      <c r="GF76" s="41">
        <v>8.6568731833856813E-2</v>
      </c>
      <c r="GJ76"/>
      <c r="GT76" s="41">
        <v>29</v>
      </c>
      <c r="GU76" s="41">
        <v>0.13222577777205302</v>
      </c>
      <c r="GV76" s="41">
        <v>0.14371199993584974</v>
      </c>
      <c r="GW76" s="41">
        <v>0.13988325921458417</v>
      </c>
      <c r="GX76" s="41">
        <f t="shared" si="72"/>
        <v>0.187495045772053</v>
      </c>
      <c r="GY76" s="41">
        <f t="shared" si="72"/>
        <v>0.19898126793584975</v>
      </c>
      <c r="HN76" s="45">
        <v>29</v>
      </c>
      <c r="HO76" s="41">
        <v>8.3112267286608324E-2</v>
      </c>
      <c r="HP76" s="41">
        <v>8.7703164720526319E-2</v>
      </c>
      <c r="HQ76" s="41">
        <v>8.6172865575886992E-2</v>
      </c>
      <c r="IH76" s="45">
        <v>29</v>
      </c>
      <c r="II76" s="41">
        <v>8.0412242991836066E-2</v>
      </c>
      <c r="IJ76" s="41">
        <v>8.6327049072587286E-2</v>
      </c>
      <c r="IK76" s="41">
        <v>8.4355447045670218E-2</v>
      </c>
      <c r="JB76" s="45">
        <v>29</v>
      </c>
      <c r="JC76" s="41">
        <v>0.12169198709239129</v>
      </c>
      <c r="JD76" s="41">
        <v>0.12372219417584226</v>
      </c>
      <c r="JE76" s="41">
        <v>0.12304545848135862</v>
      </c>
      <c r="JV76">
        <v>29</v>
      </c>
      <c r="JW76" s="41">
        <v>0.1156619870923913</v>
      </c>
      <c r="JX76" s="41">
        <v>0.11769219417584227</v>
      </c>
      <c r="JY76" s="41">
        <v>0.11701545848135861</v>
      </c>
    </row>
    <row r="77" spans="131:285" ht="16">
      <c r="EA77">
        <v>0.16511999999999999</v>
      </c>
      <c r="GB77">
        <v>32</v>
      </c>
      <c r="GC77" s="41">
        <v>8.1930810855613587E-2</v>
      </c>
      <c r="GD77" s="41">
        <v>6.5689796766816064E-2</v>
      </c>
      <c r="GE77" s="41">
        <v>9.4850810855613588E-2</v>
      </c>
      <c r="GF77" s="41">
        <v>7.8609796766816065E-2</v>
      </c>
      <c r="GJ77"/>
      <c r="GT77" s="41">
        <v>30</v>
      </c>
      <c r="GU77" s="41">
        <v>0.13222577777205302</v>
      </c>
      <c r="GV77" s="41">
        <v>0.14371199993584974</v>
      </c>
      <c r="GW77" s="41">
        <v>0.13988325921458417</v>
      </c>
      <c r="GX77" s="41">
        <f t="shared" si="72"/>
        <v>0.187495045772053</v>
      </c>
      <c r="GY77" s="41">
        <f t="shared" si="72"/>
        <v>0.19898126793584975</v>
      </c>
      <c r="HN77" s="45">
        <v>30</v>
      </c>
      <c r="HO77" s="41">
        <v>8.3112267286608324E-2</v>
      </c>
      <c r="HP77" s="41">
        <v>8.7703164720526319E-2</v>
      </c>
      <c r="HQ77" s="41">
        <v>8.6172865575886992E-2</v>
      </c>
      <c r="IH77" s="45">
        <v>30</v>
      </c>
      <c r="II77" s="41">
        <v>8.0412242991836066E-2</v>
      </c>
      <c r="IJ77" s="41">
        <v>8.6327049072587286E-2</v>
      </c>
      <c r="IK77" s="41">
        <v>8.4355447045670218E-2</v>
      </c>
      <c r="JB77" s="45">
        <v>30</v>
      </c>
      <c r="JC77" s="41">
        <v>0.12169198709239129</v>
      </c>
      <c r="JD77" s="41">
        <v>0.12372219417584226</v>
      </c>
      <c r="JE77" s="41">
        <v>0.12304545848135862</v>
      </c>
      <c r="JV77">
        <v>30</v>
      </c>
      <c r="JW77" s="41">
        <v>0.1156619870923913</v>
      </c>
      <c r="JX77" s="41">
        <v>0.11769219417584227</v>
      </c>
      <c r="JY77" s="41">
        <v>0.11701545848135861</v>
      </c>
    </row>
    <row r="78" spans="131:285" ht="16">
      <c r="EA78">
        <v>0.16511999999999999</v>
      </c>
      <c r="GB78">
        <v>33</v>
      </c>
      <c r="GC78" s="41">
        <v>8.1930810855613587E-2</v>
      </c>
      <c r="GD78" s="41">
        <v>6.5689796766816064E-2</v>
      </c>
      <c r="GE78" s="41">
        <v>9.4850810855613588E-2</v>
      </c>
      <c r="GF78" s="41">
        <v>7.8609796766816065E-2</v>
      </c>
      <c r="GJ78"/>
      <c r="GT78" s="41">
        <v>31</v>
      </c>
      <c r="GU78" s="41">
        <v>0.13222577777205302</v>
      </c>
      <c r="GV78" s="41">
        <v>0.14371199993584974</v>
      </c>
      <c r="GW78" s="41">
        <v>0.13988325921458417</v>
      </c>
      <c r="GX78" s="41">
        <f t="shared" si="72"/>
        <v>0.187495045772053</v>
      </c>
      <c r="GY78" s="41">
        <f t="shared" si="72"/>
        <v>0.19898126793584975</v>
      </c>
      <c r="HN78" s="45">
        <v>31</v>
      </c>
      <c r="HO78" s="41">
        <v>8.3112267286608324E-2</v>
      </c>
      <c r="HP78" s="41">
        <v>8.7703164720526319E-2</v>
      </c>
      <c r="HQ78" s="41">
        <v>8.6172865575886992E-2</v>
      </c>
      <c r="IH78" s="45">
        <v>31</v>
      </c>
      <c r="II78" s="41">
        <v>8.0412242991836066E-2</v>
      </c>
      <c r="IJ78" s="41">
        <v>8.6327049072587286E-2</v>
      </c>
      <c r="IK78" s="41">
        <v>8.4355447045670218E-2</v>
      </c>
      <c r="JB78" s="45">
        <v>31</v>
      </c>
      <c r="JC78" s="41">
        <v>0.12169198709239129</v>
      </c>
      <c r="JD78" s="41">
        <v>0.12372219417584226</v>
      </c>
      <c r="JE78" s="41">
        <v>0.12304545848135862</v>
      </c>
      <c r="JV78">
        <v>31</v>
      </c>
      <c r="JW78" s="41">
        <v>0.1156619870923913</v>
      </c>
      <c r="JX78" s="41">
        <v>0.11769219417584227</v>
      </c>
      <c r="JY78" s="41">
        <v>0.11701545848135861</v>
      </c>
    </row>
    <row r="79" spans="131:285" ht="16">
      <c r="EA79">
        <v>0.16511999999999999</v>
      </c>
      <c r="GB79">
        <v>34</v>
      </c>
      <c r="GC79" s="41">
        <v>8.1930810855613587E-2</v>
      </c>
      <c r="GD79" s="41">
        <v>6.5689796766816064E-2</v>
      </c>
      <c r="GE79" s="41">
        <v>9.4850810855613588E-2</v>
      </c>
      <c r="GF79" s="41">
        <v>7.8609796766816065E-2</v>
      </c>
      <c r="GJ79"/>
      <c r="GT79" s="41">
        <v>32</v>
      </c>
      <c r="GU79" s="41">
        <v>0.13807058320737725</v>
      </c>
      <c r="GV79" s="41">
        <v>0.14366839827642647</v>
      </c>
      <c r="GW79" s="41">
        <v>0.14180245992007673</v>
      </c>
      <c r="GX79" s="41">
        <f t="shared" si="72"/>
        <v>0.19333985120737723</v>
      </c>
      <c r="GY79" s="41">
        <f t="shared" si="72"/>
        <v>0.19893766627642645</v>
      </c>
      <c r="HN79" s="45">
        <v>32</v>
      </c>
      <c r="HO79" s="41">
        <v>8.102131540560889E-2</v>
      </c>
      <c r="HP79" s="41">
        <v>8.778588291322581E-2</v>
      </c>
      <c r="HQ79" s="41">
        <v>8.5531027077353522E-2</v>
      </c>
      <c r="IH79" s="45">
        <v>32</v>
      </c>
      <c r="II79" s="41">
        <v>7.7951190649703572E-2</v>
      </c>
      <c r="IJ79" s="41">
        <v>8.1640916337285915E-2</v>
      </c>
      <c r="IK79" s="41">
        <v>8.0411007774758472E-2</v>
      </c>
      <c r="JB79" s="45">
        <v>32</v>
      </c>
      <c r="JC79" s="41">
        <v>0.11851444240542067</v>
      </c>
      <c r="JD79" s="41">
        <v>0.1195736736689488</v>
      </c>
      <c r="JE79" s="41">
        <v>0.11922059658110609</v>
      </c>
      <c r="JV79">
        <v>32</v>
      </c>
      <c r="JW79" s="41">
        <v>0.11248444240542067</v>
      </c>
      <c r="JX79" s="41">
        <v>0.11354367366894881</v>
      </c>
      <c r="JY79" s="41">
        <v>0.11319059658110608</v>
      </c>
    </row>
    <row r="80" spans="131:285" ht="16">
      <c r="EA80">
        <v>0.16511999999999999</v>
      </c>
      <c r="GB80">
        <v>35</v>
      </c>
      <c r="GC80" s="41">
        <v>8.1930810855613587E-2</v>
      </c>
      <c r="GD80" s="41">
        <v>6.5689796766816064E-2</v>
      </c>
      <c r="GE80" s="41">
        <v>9.4850810855613588E-2</v>
      </c>
      <c r="GF80" s="41">
        <v>7.8609796766816065E-2</v>
      </c>
      <c r="GJ80"/>
      <c r="GT80" s="41">
        <v>33</v>
      </c>
      <c r="GU80" s="41">
        <v>0.13807058320737725</v>
      </c>
      <c r="GV80" s="41">
        <v>0.14366839827642647</v>
      </c>
      <c r="GW80" s="41">
        <v>0.14180245992007673</v>
      </c>
      <c r="GX80" s="41">
        <f t="shared" si="72"/>
        <v>0.19333985120737723</v>
      </c>
      <c r="GY80" s="41">
        <f t="shared" si="72"/>
        <v>0.19893766627642645</v>
      </c>
      <c r="HN80" s="45">
        <v>33</v>
      </c>
      <c r="HO80" s="41">
        <v>8.102131540560889E-2</v>
      </c>
      <c r="HP80" s="41">
        <v>8.778588291322581E-2</v>
      </c>
      <c r="HQ80" s="41">
        <v>8.5531027077353522E-2</v>
      </c>
      <c r="IH80" s="45">
        <v>33</v>
      </c>
      <c r="II80" s="41">
        <v>7.7951190649703572E-2</v>
      </c>
      <c r="IJ80" s="41">
        <v>8.1640916337285915E-2</v>
      </c>
      <c r="IK80" s="41">
        <v>8.0411007774758472E-2</v>
      </c>
      <c r="JB80" s="45">
        <v>33</v>
      </c>
      <c r="JC80" s="41">
        <v>0.11851444240542067</v>
      </c>
      <c r="JD80" s="41">
        <v>0.1195736736689488</v>
      </c>
      <c r="JE80" s="41">
        <v>0.11922059658110609</v>
      </c>
      <c r="JV80">
        <v>33</v>
      </c>
      <c r="JW80" s="41">
        <v>0.11248444240542067</v>
      </c>
      <c r="JX80" s="41">
        <v>0.11354367366894881</v>
      </c>
      <c r="JY80" s="41">
        <v>0.11319059658110608</v>
      </c>
    </row>
    <row r="81" spans="131:285" ht="16">
      <c r="EA81">
        <v>0.16511999999999999</v>
      </c>
      <c r="GB81">
        <v>36</v>
      </c>
      <c r="GC81" s="41">
        <v>8.3987028140104461E-2</v>
      </c>
      <c r="GD81" s="41">
        <v>6.2710210321867355E-2</v>
      </c>
      <c r="GE81" s="41">
        <v>9.6907028140104462E-2</v>
      </c>
      <c r="GF81" s="41">
        <v>7.5630210321867355E-2</v>
      </c>
      <c r="GJ81"/>
      <c r="GT81" s="41">
        <v>34</v>
      </c>
      <c r="GU81" s="41">
        <v>0.13807058320737725</v>
      </c>
      <c r="GV81" s="41">
        <v>0.14366839827642647</v>
      </c>
      <c r="GW81" s="41">
        <v>0.14180245992007673</v>
      </c>
      <c r="GX81" s="41">
        <f t="shared" si="72"/>
        <v>0.19333985120737723</v>
      </c>
      <c r="GY81" s="41">
        <f t="shared" si="72"/>
        <v>0.19893766627642645</v>
      </c>
      <c r="HN81" s="45">
        <v>34</v>
      </c>
      <c r="HO81" s="41">
        <v>8.102131540560889E-2</v>
      </c>
      <c r="HP81" s="41">
        <v>8.778588291322581E-2</v>
      </c>
      <c r="HQ81" s="41">
        <v>8.5531027077353522E-2</v>
      </c>
      <c r="IH81" s="45">
        <v>34</v>
      </c>
      <c r="II81" s="41">
        <v>7.7951190649703572E-2</v>
      </c>
      <c r="IJ81" s="41">
        <v>8.1640916337285915E-2</v>
      </c>
      <c r="IK81" s="41">
        <v>8.0411007774758472E-2</v>
      </c>
      <c r="JB81" s="45">
        <v>34</v>
      </c>
      <c r="JC81" s="41">
        <v>0.11851444240542067</v>
      </c>
      <c r="JD81" s="41">
        <v>0.1195736736689488</v>
      </c>
      <c r="JE81" s="41">
        <v>0.11922059658110609</v>
      </c>
      <c r="JV81">
        <v>34</v>
      </c>
      <c r="JW81" s="41">
        <v>0.11248444240542067</v>
      </c>
      <c r="JX81" s="41">
        <v>0.11354367366894881</v>
      </c>
      <c r="JY81" s="41">
        <v>0.11319059658110608</v>
      </c>
    </row>
    <row r="82" spans="131:285" ht="16">
      <c r="EA82">
        <v>0.16511999999999999</v>
      </c>
      <c r="GB82">
        <v>37</v>
      </c>
      <c r="GC82" s="41">
        <v>8.3987028140104461E-2</v>
      </c>
      <c r="GD82" s="41">
        <v>6.2710210321867355E-2</v>
      </c>
      <c r="GE82" s="41">
        <v>9.6907028140104462E-2</v>
      </c>
      <c r="GF82" s="41">
        <v>7.5630210321867355E-2</v>
      </c>
      <c r="GJ82"/>
      <c r="GT82" s="41">
        <v>35</v>
      </c>
      <c r="GU82" s="41">
        <v>0.13807058320737725</v>
      </c>
      <c r="GV82" s="41">
        <v>0.14366839827642647</v>
      </c>
      <c r="GW82" s="41">
        <v>0.14180245992007673</v>
      </c>
      <c r="GX82" s="41">
        <f t="shared" si="72"/>
        <v>0.19333985120737723</v>
      </c>
      <c r="GY82" s="41">
        <f t="shared" si="72"/>
        <v>0.19893766627642645</v>
      </c>
      <c r="HN82" s="45">
        <v>35</v>
      </c>
      <c r="HO82" s="41">
        <v>8.102131540560889E-2</v>
      </c>
      <c r="HP82" s="41">
        <v>8.778588291322581E-2</v>
      </c>
      <c r="HQ82" s="41">
        <v>8.5531027077353522E-2</v>
      </c>
      <c r="IH82" s="45">
        <v>35</v>
      </c>
      <c r="II82" s="41">
        <v>7.7951190649703572E-2</v>
      </c>
      <c r="IJ82" s="41">
        <v>8.1640916337285915E-2</v>
      </c>
      <c r="IK82" s="41">
        <v>8.0411007774758472E-2</v>
      </c>
      <c r="JB82" s="45">
        <v>35</v>
      </c>
      <c r="JC82" s="41">
        <v>0.11851444240542067</v>
      </c>
      <c r="JD82" s="41">
        <v>0.1195736736689488</v>
      </c>
      <c r="JE82" s="41">
        <v>0.11922059658110609</v>
      </c>
      <c r="JV82">
        <v>35</v>
      </c>
      <c r="JW82" s="41">
        <v>0.11248444240542067</v>
      </c>
      <c r="JX82" s="41">
        <v>0.11354367366894881</v>
      </c>
      <c r="JY82" s="41">
        <v>0.11319059658110608</v>
      </c>
    </row>
    <row r="83" spans="131:285" ht="16">
      <c r="EA83">
        <v>0.16511999999999999</v>
      </c>
      <c r="GB83">
        <v>38</v>
      </c>
      <c r="GC83" s="41">
        <v>8.3987028140104461E-2</v>
      </c>
      <c r="GD83" s="41">
        <v>6.2710210321867355E-2</v>
      </c>
      <c r="GE83" s="41">
        <v>9.6907028140104462E-2</v>
      </c>
      <c r="GF83" s="41">
        <v>7.5630210321867355E-2</v>
      </c>
      <c r="GJ83"/>
      <c r="GT83" s="41">
        <v>36</v>
      </c>
      <c r="GU83" s="41">
        <v>0.14114241108539613</v>
      </c>
      <c r="GV83" s="41">
        <v>0.13806746289057403</v>
      </c>
      <c r="GW83" s="41">
        <v>0.13909244562218137</v>
      </c>
      <c r="GX83" s="41">
        <f t="shared" si="72"/>
        <v>0.19641167908539614</v>
      </c>
      <c r="GY83" s="41">
        <f t="shared" si="72"/>
        <v>0.19333673089057402</v>
      </c>
      <c r="HN83" s="45">
        <v>36</v>
      </c>
      <c r="HO83" s="41">
        <v>8.2774291228472616E-2</v>
      </c>
      <c r="HP83" s="41">
        <v>8.6129944777256273E-2</v>
      </c>
      <c r="HQ83" s="41">
        <v>8.5011393594328397E-2</v>
      </c>
      <c r="IH83" s="45">
        <v>36</v>
      </c>
      <c r="II83" s="41">
        <v>7.6315288881634677E-2</v>
      </c>
      <c r="IJ83" s="41">
        <v>7.9778955389492756E-2</v>
      </c>
      <c r="IK83" s="41">
        <v>7.8624399886873392E-2</v>
      </c>
      <c r="JB83" s="45">
        <v>36</v>
      </c>
      <c r="JC83" s="41">
        <v>0.1170521967197205</v>
      </c>
      <c r="JD83" s="41">
        <v>0.11756268387975249</v>
      </c>
      <c r="JE83" s="41">
        <v>0.11739252149307516</v>
      </c>
      <c r="JV83">
        <v>36</v>
      </c>
      <c r="JW83" s="41">
        <v>0.1110221967197205</v>
      </c>
      <c r="JX83" s="41">
        <v>0.1115326838797525</v>
      </c>
      <c r="JY83" s="41">
        <v>0.11136252149307517</v>
      </c>
    </row>
    <row r="84" spans="131:285" ht="16">
      <c r="EA84">
        <v>0.16511999999999999</v>
      </c>
      <c r="GB84">
        <v>39</v>
      </c>
      <c r="GC84" s="41">
        <v>8.3987028140104461E-2</v>
      </c>
      <c r="GD84" s="41">
        <v>6.2710210321867355E-2</v>
      </c>
      <c r="GE84" s="41">
        <v>9.6907028140104462E-2</v>
      </c>
      <c r="GF84" s="41">
        <v>7.5630210321867355E-2</v>
      </c>
      <c r="GJ84"/>
      <c r="GT84" s="41">
        <v>37</v>
      </c>
      <c r="GU84" s="41">
        <v>0.14114241108539613</v>
      </c>
      <c r="GV84" s="41">
        <v>0.13806746289057403</v>
      </c>
      <c r="GW84" s="41">
        <v>0.13909244562218137</v>
      </c>
      <c r="GX84" s="41">
        <f t="shared" si="72"/>
        <v>0.19641167908539614</v>
      </c>
      <c r="GY84" s="41">
        <f t="shared" si="72"/>
        <v>0.19333673089057402</v>
      </c>
      <c r="HN84" s="45">
        <v>37</v>
      </c>
      <c r="HO84" s="41">
        <v>8.2774291228472616E-2</v>
      </c>
      <c r="HP84" s="41">
        <v>8.6129944777256273E-2</v>
      </c>
      <c r="HQ84" s="41">
        <v>8.5011393594328397E-2</v>
      </c>
      <c r="IH84" s="45">
        <v>37</v>
      </c>
      <c r="II84" s="41">
        <v>7.6315288881634677E-2</v>
      </c>
      <c r="IJ84" s="41">
        <v>7.9778955389492756E-2</v>
      </c>
      <c r="IK84" s="41">
        <v>7.8624399886873392E-2</v>
      </c>
      <c r="JB84" s="45">
        <v>37</v>
      </c>
      <c r="JC84" s="41">
        <v>0.1170521967197205</v>
      </c>
      <c r="JD84" s="41">
        <v>0.11756268387975249</v>
      </c>
      <c r="JE84" s="41">
        <v>0.11739252149307516</v>
      </c>
      <c r="JV84">
        <v>37</v>
      </c>
      <c r="JW84" s="41">
        <v>0.1110221967197205</v>
      </c>
      <c r="JX84" s="41">
        <v>0.1115326838797525</v>
      </c>
      <c r="JY84" s="41">
        <v>0.11136252149307517</v>
      </c>
    </row>
    <row r="85" spans="131:285" ht="16">
      <c r="EA85">
        <v>0.16511999999999999</v>
      </c>
      <c r="GB85">
        <v>40</v>
      </c>
      <c r="GC85" s="41">
        <v>8.6823484815476193E-2</v>
      </c>
      <c r="GD85" s="41">
        <v>6.3228651409835551E-2</v>
      </c>
      <c r="GE85" s="41">
        <v>9.9743484815476194E-2</v>
      </c>
      <c r="GF85" s="41">
        <v>7.6148651409835552E-2</v>
      </c>
      <c r="GJ85"/>
      <c r="GT85" s="41">
        <v>38</v>
      </c>
      <c r="GU85" s="41">
        <v>0.14114241108539613</v>
      </c>
      <c r="GV85" s="41">
        <v>0.13806746289057403</v>
      </c>
      <c r="GW85" s="41">
        <v>0.13909244562218137</v>
      </c>
      <c r="GX85" s="41">
        <f t="shared" si="72"/>
        <v>0.19641167908539614</v>
      </c>
      <c r="GY85" s="41">
        <f t="shared" si="72"/>
        <v>0.19333673089057402</v>
      </c>
      <c r="HN85" s="45">
        <v>38</v>
      </c>
      <c r="HO85" s="41">
        <v>8.2774291228472616E-2</v>
      </c>
      <c r="HP85" s="41">
        <v>8.6129944777256273E-2</v>
      </c>
      <c r="HQ85" s="41">
        <v>8.5011393594328397E-2</v>
      </c>
      <c r="IH85" s="45">
        <v>38</v>
      </c>
      <c r="II85" s="41">
        <v>7.6315288881634677E-2</v>
      </c>
      <c r="IJ85" s="41">
        <v>7.9778955389492756E-2</v>
      </c>
      <c r="IK85" s="41">
        <v>7.8624399886873392E-2</v>
      </c>
      <c r="JB85" s="45">
        <v>38</v>
      </c>
      <c r="JC85" s="41">
        <v>0.1170521967197205</v>
      </c>
      <c r="JD85" s="41">
        <v>0.11756268387975249</v>
      </c>
      <c r="JE85" s="41">
        <v>0.11739252149307516</v>
      </c>
      <c r="JV85">
        <v>38</v>
      </c>
      <c r="JW85" s="41">
        <v>0.1110221967197205</v>
      </c>
      <c r="JX85" s="41">
        <v>0.1115326838797525</v>
      </c>
      <c r="JY85" s="41">
        <v>0.11136252149307517</v>
      </c>
    </row>
    <row r="86" spans="131:285" ht="16">
      <c r="EA86">
        <v>0.16511999999999999</v>
      </c>
      <c r="GB86">
        <v>41</v>
      </c>
      <c r="GC86" s="41">
        <v>8.6823484815476193E-2</v>
      </c>
      <c r="GD86" s="41">
        <v>6.3228651409835551E-2</v>
      </c>
      <c r="GE86" s="41">
        <v>9.9743484815476194E-2</v>
      </c>
      <c r="GF86" s="41">
        <v>7.6148651409835552E-2</v>
      </c>
      <c r="GJ86"/>
      <c r="GT86" s="41">
        <v>39</v>
      </c>
      <c r="GU86" s="41">
        <v>0.14114241108539613</v>
      </c>
      <c r="GV86" s="41">
        <v>0.13806746289057403</v>
      </c>
      <c r="GW86" s="41">
        <v>0.13909244562218137</v>
      </c>
      <c r="GX86" s="41">
        <f t="shared" si="72"/>
        <v>0.19641167908539614</v>
      </c>
      <c r="GY86" s="41">
        <f t="shared" si="72"/>
        <v>0.19333673089057402</v>
      </c>
      <c r="HN86" s="45">
        <v>39</v>
      </c>
      <c r="HO86" s="41">
        <v>8.2774291228472616E-2</v>
      </c>
      <c r="HP86" s="41">
        <v>8.6129944777256273E-2</v>
      </c>
      <c r="HQ86" s="41">
        <v>8.5011393594328397E-2</v>
      </c>
      <c r="IH86" s="45">
        <v>39</v>
      </c>
      <c r="II86" s="41">
        <v>7.6315288881634677E-2</v>
      </c>
      <c r="IJ86" s="41">
        <v>7.9778955389492756E-2</v>
      </c>
      <c r="IK86" s="41">
        <v>7.8624399886873392E-2</v>
      </c>
      <c r="JB86" s="45">
        <v>39</v>
      </c>
      <c r="JC86" s="41">
        <v>0.1170521967197205</v>
      </c>
      <c r="JD86" s="41">
        <v>0.11756268387975249</v>
      </c>
      <c r="JE86" s="41">
        <v>0.11739252149307516</v>
      </c>
      <c r="JV86">
        <v>39</v>
      </c>
      <c r="JW86" s="41">
        <v>0.1110221967197205</v>
      </c>
      <c r="JX86" s="41">
        <v>0.1115326838797525</v>
      </c>
      <c r="JY86" s="41">
        <v>0.11136252149307517</v>
      </c>
    </row>
    <row r="87" spans="131:285" ht="16">
      <c r="EA87">
        <v>0.16511999999999999</v>
      </c>
      <c r="GB87">
        <v>42</v>
      </c>
      <c r="GC87" s="41">
        <v>8.6823484815476193E-2</v>
      </c>
      <c r="GD87" s="41">
        <v>6.3228651409835551E-2</v>
      </c>
      <c r="GE87" s="41">
        <v>9.9743484815476194E-2</v>
      </c>
      <c r="GF87" s="41">
        <v>7.6148651409835552E-2</v>
      </c>
      <c r="GJ87"/>
      <c r="GT87" s="41">
        <v>40</v>
      </c>
      <c r="GU87" s="41">
        <v>0.14535809853324758</v>
      </c>
      <c r="GV87" s="41">
        <v>0.13425926899460072</v>
      </c>
      <c r="GW87" s="41">
        <v>0.13795887884081634</v>
      </c>
      <c r="GX87" s="41">
        <f t="shared" si="72"/>
        <v>0.20062736653324759</v>
      </c>
      <c r="GY87" s="41">
        <f t="shared" si="72"/>
        <v>0.1895285369946007</v>
      </c>
      <c r="HN87" s="45">
        <v>40</v>
      </c>
      <c r="HO87" s="41">
        <v>9.5423639525103521E-2</v>
      </c>
      <c r="HP87" s="41">
        <v>7.1210390680141872E-2</v>
      </c>
      <c r="HQ87" s="41">
        <v>7.9281473628462412E-2</v>
      </c>
      <c r="IH87" s="45">
        <v>40</v>
      </c>
      <c r="II87" s="41">
        <v>8.5285345449840011E-2</v>
      </c>
      <c r="IJ87" s="41">
        <v>6.0157485377111568E-2</v>
      </c>
      <c r="IK87" s="41">
        <v>6.8533438734687716E-2</v>
      </c>
      <c r="JB87" s="45">
        <v>40</v>
      </c>
      <c r="JC87" s="41">
        <v>0.1272565550595238</v>
      </c>
      <c r="JD87" s="41">
        <v>9.896764796769128E-2</v>
      </c>
      <c r="JE87" s="41">
        <v>0.10839728366496879</v>
      </c>
      <c r="JV87">
        <v>40</v>
      </c>
      <c r="JW87" s="41">
        <v>0.1212265550595238</v>
      </c>
      <c r="JX87" s="41">
        <v>9.2937647967691273E-2</v>
      </c>
      <c r="JY87" s="41">
        <v>0.10236728366496879</v>
      </c>
    </row>
    <row r="88" spans="131:285" ht="16">
      <c r="EA88">
        <v>0.16511999999999999</v>
      </c>
      <c r="GB88">
        <v>43</v>
      </c>
      <c r="GC88" s="41">
        <v>8.6823484815476193E-2</v>
      </c>
      <c r="GD88" s="41">
        <v>6.3228651409835551E-2</v>
      </c>
      <c r="GE88" s="41">
        <v>9.9743484815476194E-2</v>
      </c>
      <c r="GF88" s="41">
        <v>7.6148651409835552E-2</v>
      </c>
      <c r="GJ88"/>
      <c r="GT88" s="41">
        <v>41</v>
      </c>
      <c r="GU88" s="41">
        <v>0.14535809853324758</v>
      </c>
      <c r="GV88" s="41">
        <v>0.13425926899460072</v>
      </c>
      <c r="GW88" s="41">
        <v>0.13795887884081634</v>
      </c>
      <c r="GX88" s="41">
        <f t="shared" si="72"/>
        <v>0.20062736653324759</v>
      </c>
      <c r="GY88" s="41">
        <f t="shared" si="72"/>
        <v>0.1895285369946007</v>
      </c>
      <c r="HN88" s="45">
        <v>41</v>
      </c>
      <c r="HO88" s="41">
        <v>9.5423639525103521E-2</v>
      </c>
      <c r="HP88" s="41">
        <v>7.1210390680141872E-2</v>
      </c>
      <c r="HQ88" s="41">
        <v>7.9281473628462412E-2</v>
      </c>
      <c r="IH88" s="45">
        <v>41</v>
      </c>
      <c r="II88" s="41">
        <v>8.5285345449840011E-2</v>
      </c>
      <c r="IJ88" s="41">
        <v>6.0157485377111568E-2</v>
      </c>
      <c r="IK88" s="41">
        <v>6.8533438734687716E-2</v>
      </c>
      <c r="JB88" s="45">
        <v>41</v>
      </c>
      <c r="JC88" s="41">
        <v>0.1272565550595238</v>
      </c>
      <c r="JD88" s="41">
        <v>9.896764796769128E-2</v>
      </c>
      <c r="JE88" s="41">
        <v>0.10839728366496879</v>
      </c>
      <c r="JV88">
        <v>41</v>
      </c>
      <c r="JW88" s="41">
        <v>0.1212265550595238</v>
      </c>
      <c r="JX88" s="41">
        <v>9.2937647967691273E-2</v>
      </c>
      <c r="JY88" s="41">
        <v>0.10236728366496879</v>
      </c>
    </row>
    <row r="89" spans="131:285" ht="16">
      <c r="EA89">
        <v>0.16511999999999999</v>
      </c>
      <c r="GB89">
        <v>44</v>
      </c>
      <c r="GC89" s="41">
        <v>9.2395205286067192E-2</v>
      </c>
      <c r="GD89" s="41">
        <v>6.1189943307474598E-2</v>
      </c>
      <c r="GE89" s="41">
        <v>0.10531520528606719</v>
      </c>
      <c r="GF89" s="41">
        <v>7.4109943307474599E-2</v>
      </c>
      <c r="GJ89"/>
      <c r="GT89" s="41">
        <v>42</v>
      </c>
      <c r="GU89" s="41">
        <v>0.14535809853324758</v>
      </c>
      <c r="GV89" s="41">
        <v>0.13425926899460072</v>
      </c>
      <c r="GW89" s="41">
        <v>0.13795887884081634</v>
      </c>
      <c r="GX89" s="41">
        <f t="shared" si="72"/>
        <v>0.20062736653324759</v>
      </c>
      <c r="GY89" s="41">
        <f t="shared" si="72"/>
        <v>0.1895285369946007</v>
      </c>
      <c r="HN89" s="45">
        <v>42</v>
      </c>
      <c r="HO89" s="41">
        <v>9.5423639525103521E-2</v>
      </c>
      <c r="HP89" s="41">
        <v>7.1210390680141872E-2</v>
      </c>
      <c r="HQ89" s="41">
        <v>7.9281473628462412E-2</v>
      </c>
      <c r="IH89" s="45">
        <v>42</v>
      </c>
      <c r="II89" s="41">
        <v>8.5285345449840011E-2</v>
      </c>
      <c r="IJ89" s="41">
        <v>6.0157485377111568E-2</v>
      </c>
      <c r="IK89" s="41">
        <v>6.8533438734687716E-2</v>
      </c>
      <c r="JB89" s="45">
        <v>42</v>
      </c>
      <c r="JC89" s="41">
        <v>0.1272565550595238</v>
      </c>
      <c r="JD89" s="41">
        <v>9.896764796769128E-2</v>
      </c>
      <c r="JE89" s="41">
        <v>0.10839728366496879</v>
      </c>
      <c r="JV89">
        <v>42</v>
      </c>
      <c r="JW89" s="41">
        <v>0.1212265550595238</v>
      </c>
      <c r="JX89" s="41">
        <v>9.2937647967691273E-2</v>
      </c>
      <c r="JY89" s="41">
        <v>0.10236728366496879</v>
      </c>
    </row>
    <row r="90" spans="131:285" ht="16">
      <c r="EA90">
        <v>0.16511999999999999</v>
      </c>
      <c r="GB90">
        <v>45</v>
      </c>
      <c r="GC90" s="41">
        <v>9.2395205286067192E-2</v>
      </c>
      <c r="GD90" s="41">
        <v>6.1189943307474598E-2</v>
      </c>
      <c r="GE90" s="41">
        <v>0.10531520528606719</v>
      </c>
      <c r="GF90" s="41">
        <v>7.4109943307474599E-2</v>
      </c>
      <c r="GJ90"/>
      <c r="GT90" s="41">
        <v>43</v>
      </c>
      <c r="GU90" s="41">
        <v>0.14535809853324758</v>
      </c>
      <c r="GV90" s="41">
        <v>0.13425926899460072</v>
      </c>
      <c r="GW90" s="41">
        <v>0.13795887884081634</v>
      </c>
      <c r="GX90" s="41">
        <f t="shared" si="72"/>
        <v>0.20062736653324759</v>
      </c>
      <c r="GY90" s="41">
        <f t="shared" si="72"/>
        <v>0.1895285369946007</v>
      </c>
      <c r="HN90" s="45">
        <v>43</v>
      </c>
      <c r="HO90" s="41">
        <v>9.5423639525103521E-2</v>
      </c>
      <c r="HP90" s="41">
        <v>7.1210390680141872E-2</v>
      </c>
      <c r="HQ90" s="41">
        <v>7.9281473628462412E-2</v>
      </c>
      <c r="IH90" s="45">
        <v>43</v>
      </c>
      <c r="II90" s="41">
        <v>8.5285345449840011E-2</v>
      </c>
      <c r="IJ90" s="41">
        <v>6.0157485377111568E-2</v>
      </c>
      <c r="IK90" s="41">
        <v>6.8533438734687716E-2</v>
      </c>
      <c r="JB90" s="45">
        <v>43</v>
      </c>
      <c r="JC90" s="41">
        <v>0.1272565550595238</v>
      </c>
      <c r="JD90" s="41">
        <v>9.896764796769128E-2</v>
      </c>
      <c r="JE90" s="41">
        <v>0.10839728366496879</v>
      </c>
      <c r="JV90">
        <v>43</v>
      </c>
      <c r="JW90" s="41">
        <v>0.1212265550595238</v>
      </c>
      <c r="JX90" s="41">
        <v>9.2937647967691273E-2</v>
      </c>
      <c r="JY90" s="41">
        <v>0.10236728366496879</v>
      </c>
    </row>
    <row r="91" spans="131:285" ht="16">
      <c r="EA91">
        <v>0.16511999999999999</v>
      </c>
      <c r="GB91">
        <v>46</v>
      </c>
      <c r="GC91" s="41">
        <v>9.2395205286067192E-2</v>
      </c>
      <c r="GD91" s="41">
        <v>6.1189943307474598E-2</v>
      </c>
      <c r="GE91" s="41">
        <v>0.10531520528606719</v>
      </c>
      <c r="GF91" s="41">
        <v>7.4109943307474599E-2</v>
      </c>
      <c r="GJ91"/>
      <c r="GT91" s="41">
        <v>44</v>
      </c>
      <c r="GU91" s="41">
        <v>0.14957055043348166</v>
      </c>
      <c r="GV91" s="41">
        <v>0.13106223049269697</v>
      </c>
      <c r="GW91" s="41">
        <v>0.13723167047295853</v>
      </c>
      <c r="GX91" s="41">
        <f t="shared" si="72"/>
        <v>0.20483981843348165</v>
      </c>
      <c r="GY91" s="41">
        <f t="shared" si="72"/>
        <v>0.18633149849269698</v>
      </c>
      <c r="HN91" s="45">
        <v>44</v>
      </c>
      <c r="HO91" s="41">
        <v>0.11235375602884436</v>
      </c>
      <c r="HP91" s="41">
        <v>7.0092065364436296E-2</v>
      </c>
      <c r="HQ91" s="41">
        <v>8.4179295585905631E-2</v>
      </c>
      <c r="IH91" s="45">
        <v>44</v>
      </c>
      <c r="II91" s="41">
        <v>9.8172973599543564E-2</v>
      </c>
      <c r="IJ91" s="41">
        <v>5.2652993263134044E-2</v>
      </c>
      <c r="IK91" s="41">
        <v>6.7826320041937213E-2</v>
      </c>
      <c r="JB91" s="45">
        <v>44</v>
      </c>
      <c r="JC91" s="41">
        <v>0.13973954930712404</v>
      </c>
      <c r="JD91" s="41">
        <v>9.1821001802771501E-2</v>
      </c>
      <c r="JE91" s="41">
        <v>0.10779385097088903</v>
      </c>
      <c r="JV91">
        <v>44</v>
      </c>
      <c r="JW91" s="41">
        <v>0.13370954930712403</v>
      </c>
      <c r="JX91" s="41">
        <v>8.5791001802771508E-2</v>
      </c>
      <c r="JY91" s="41">
        <v>0.10176385097088902</v>
      </c>
    </row>
    <row r="92" spans="131:285" ht="16">
      <c r="EA92">
        <v>0.22559000000000001</v>
      </c>
      <c r="GB92">
        <v>47</v>
      </c>
      <c r="GC92" s="41">
        <v>9.2395205286067192E-2</v>
      </c>
      <c r="GD92" s="41">
        <v>6.1189943307474598E-2</v>
      </c>
      <c r="GE92" s="41">
        <v>0.10531520528606719</v>
      </c>
      <c r="GF92" s="41">
        <v>7.4109943307474599E-2</v>
      </c>
      <c r="GJ92"/>
      <c r="GT92" s="41">
        <v>45</v>
      </c>
      <c r="GU92" s="41">
        <v>0.14957055043348166</v>
      </c>
      <c r="GV92" s="41">
        <v>0.13106223049269697</v>
      </c>
      <c r="GW92" s="41">
        <v>0.13723167047295853</v>
      </c>
      <c r="GX92" s="41">
        <f t="shared" si="72"/>
        <v>0.20483981843348165</v>
      </c>
      <c r="GY92" s="41">
        <f t="shared" si="72"/>
        <v>0.18633149849269698</v>
      </c>
      <c r="HN92" s="45">
        <v>45</v>
      </c>
      <c r="HO92" s="41">
        <v>0.11235375602884436</v>
      </c>
      <c r="HP92" s="41">
        <v>7.0092065364436296E-2</v>
      </c>
      <c r="HQ92" s="41">
        <v>8.4179295585905631E-2</v>
      </c>
      <c r="IH92" s="45">
        <v>45</v>
      </c>
      <c r="II92" s="41">
        <v>9.8172973599543564E-2</v>
      </c>
      <c r="IJ92" s="41">
        <v>5.2652993263134044E-2</v>
      </c>
      <c r="IK92" s="41">
        <v>6.7826320041937213E-2</v>
      </c>
      <c r="JB92" s="45">
        <v>45</v>
      </c>
      <c r="JC92" s="41">
        <v>0.13973954930712404</v>
      </c>
      <c r="JD92" s="41">
        <v>9.1821001802771501E-2</v>
      </c>
      <c r="JE92" s="41">
        <v>0.10779385097088903</v>
      </c>
      <c r="JV92">
        <v>45</v>
      </c>
      <c r="JW92" s="41">
        <v>0.13370954930712403</v>
      </c>
      <c r="JX92" s="41">
        <v>8.5791001802771508E-2</v>
      </c>
      <c r="JY92" s="41">
        <v>0.10176385097088902</v>
      </c>
    </row>
    <row r="93" spans="131:285" ht="16">
      <c r="EA93">
        <v>0.22559000000000001</v>
      </c>
      <c r="GB93">
        <v>48</v>
      </c>
      <c r="GC93" s="41">
        <v>9.8419410443228897E-2</v>
      </c>
      <c r="GD93" s="41">
        <v>5.9890375337989368E-2</v>
      </c>
      <c r="GE93" s="41">
        <v>0.1113394104432289</v>
      </c>
      <c r="GF93" s="41">
        <v>7.2810375337989369E-2</v>
      </c>
      <c r="GJ93"/>
      <c r="GT93" s="41">
        <v>46</v>
      </c>
      <c r="GU93" s="41">
        <v>0.14957055043348166</v>
      </c>
      <c r="GV93" s="41">
        <v>0.13106223049269697</v>
      </c>
      <c r="GW93" s="41">
        <v>0.13723167047295853</v>
      </c>
      <c r="GX93" s="41">
        <f t="shared" si="72"/>
        <v>0.20483981843348165</v>
      </c>
      <c r="GY93" s="41">
        <f t="shared" si="72"/>
        <v>0.18633149849269698</v>
      </c>
      <c r="HN93" s="45">
        <v>46</v>
      </c>
      <c r="HO93" s="41">
        <v>0.11235375602884436</v>
      </c>
      <c r="HP93" s="41">
        <v>7.0092065364436296E-2</v>
      </c>
      <c r="HQ93" s="41">
        <v>8.4179295585905631E-2</v>
      </c>
      <c r="IH93" s="45">
        <v>46</v>
      </c>
      <c r="II93" s="41">
        <v>9.8172973599543564E-2</v>
      </c>
      <c r="IJ93" s="41">
        <v>5.2652993263134044E-2</v>
      </c>
      <c r="IK93" s="41">
        <v>6.7826320041937213E-2</v>
      </c>
      <c r="JB93" s="45">
        <v>46</v>
      </c>
      <c r="JC93" s="41">
        <v>0.13973954930712404</v>
      </c>
      <c r="JD93" s="41">
        <v>9.1821001802771501E-2</v>
      </c>
      <c r="JE93" s="41">
        <v>0.10779385097088903</v>
      </c>
      <c r="JV93">
        <v>46</v>
      </c>
      <c r="JW93" s="41">
        <v>0.13370954930712403</v>
      </c>
      <c r="JX93" s="41">
        <v>8.5791001802771508E-2</v>
      </c>
      <c r="JY93" s="41">
        <v>0.10176385097088902</v>
      </c>
    </row>
    <row r="94" spans="131:285" ht="16">
      <c r="EA94">
        <v>0.22559000000000001</v>
      </c>
      <c r="GB94">
        <v>49</v>
      </c>
      <c r="GC94" s="41">
        <v>9.8419410443228897E-2</v>
      </c>
      <c r="GD94" s="41">
        <v>5.9890375337989368E-2</v>
      </c>
      <c r="GE94" s="41">
        <v>0.1113394104432289</v>
      </c>
      <c r="GF94" s="41">
        <v>7.2810375337989369E-2</v>
      </c>
      <c r="GJ94"/>
      <c r="GT94" s="41">
        <v>47</v>
      </c>
      <c r="GU94" s="41">
        <v>0.14957055043348166</v>
      </c>
      <c r="GV94" s="41">
        <v>0.13106223049269697</v>
      </c>
      <c r="GW94" s="41">
        <v>0.13723167047295853</v>
      </c>
      <c r="GX94" s="41">
        <f t="shared" si="72"/>
        <v>0.20483981843348165</v>
      </c>
      <c r="GY94" s="41">
        <f t="shared" si="72"/>
        <v>0.18633149849269698</v>
      </c>
      <c r="HN94" s="45">
        <v>47</v>
      </c>
      <c r="HO94" s="41">
        <v>0.11235375602884436</v>
      </c>
      <c r="HP94" s="41">
        <v>7.0092065364436296E-2</v>
      </c>
      <c r="HQ94" s="41">
        <v>8.4179295585905631E-2</v>
      </c>
      <c r="IH94" s="45">
        <v>47</v>
      </c>
      <c r="II94" s="41">
        <v>9.8172973599543564E-2</v>
      </c>
      <c r="IJ94" s="41">
        <v>5.2652993263134044E-2</v>
      </c>
      <c r="IK94" s="41">
        <v>6.7826320041937213E-2</v>
      </c>
      <c r="JB94" s="45">
        <v>47</v>
      </c>
      <c r="JC94" s="41">
        <v>0.13973954930712404</v>
      </c>
      <c r="JD94" s="41">
        <v>9.1821001802771501E-2</v>
      </c>
      <c r="JE94" s="41">
        <v>0.10779385097088903</v>
      </c>
      <c r="JV94">
        <v>47</v>
      </c>
      <c r="JW94" s="41">
        <v>0.13370954930712403</v>
      </c>
      <c r="JX94" s="41">
        <v>8.5791001802771508E-2</v>
      </c>
      <c r="JY94" s="41">
        <v>0.10176385097088902</v>
      </c>
    </row>
    <row r="95" spans="131:285" ht="16">
      <c r="EA95">
        <v>0.22559000000000001</v>
      </c>
      <c r="GB95">
        <v>50</v>
      </c>
      <c r="GC95" s="41">
        <v>9.8419410443228897E-2</v>
      </c>
      <c r="GD95" s="41">
        <v>5.9890375337989368E-2</v>
      </c>
      <c r="GE95" s="41">
        <v>0.1113394104432289</v>
      </c>
      <c r="GF95" s="41">
        <v>7.2810375337989369E-2</v>
      </c>
      <c r="GJ95"/>
      <c r="GT95" s="41">
        <v>48</v>
      </c>
      <c r="GU95" s="41">
        <v>0.15394061493105965</v>
      </c>
      <c r="GV95" s="41">
        <v>0.12887100713850785</v>
      </c>
      <c r="GW95" s="41">
        <v>0.13722754306935844</v>
      </c>
      <c r="GX95" s="41">
        <f t="shared" si="72"/>
        <v>0.20920988293105963</v>
      </c>
      <c r="GY95" s="41">
        <f t="shared" si="72"/>
        <v>0.18414027513850784</v>
      </c>
      <c r="HN95" s="45">
        <v>48</v>
      </c>
      <c r="HO95" s="41">
        <v>0.14341183137175323</v>
      </c>
      <c r="HP95" s="41">
        <v>6.9388464945946277E-2</v>
      </c>
      <c r="HQ95" s="41">
        <v>9.4062920421215265E-2</v>
      </c>
      <c r="IH95" s="45">
        <v>48</v>
      </c>
      <c r="II95" s="41">
        <v>0.12522292772150859</v>
      </c>
      <c r="IJ95" s="41">
        <v>5.2687392069716961E-2</v>
      </c>
      <c r="IK95" s="41">
        <v>7.6865903953647507E-2</v>
      </c>
      <c r="JB95" s="45">
        <v>48</v>
      </c>
      <c r="JC95" s="41">
        <v>0.16627996270939205</v>
      </c>
      <c r="JD95" s="41">
        <v>9.3045870039437456E-2</v>
      </c>
      <c r="JE95" s="41">
        <v>0.11745723426275567</v>
      </c>
      <c r="JV95">
        <v>48</v>
      </c>
      <c r="JW95" s="41">
        <v>0.16024996270939207</v>
      </c>
      <c r="JX95" s="41">
        <v>8.7015870039437462E-2</v>
      </c>
      <c r="JY95" s="41">
        <v>0.11142723426275566</v>
      </c>
    </row>
    <row r="96" spans="131:285" ht="16">
      <c r="EA96">
        <v>0.22559000000000001</v>
      </c>
      <c r="GB96">
        <v>51</v>
      </c>
      <c r="GC96" s="41">
        <v>9.8419410443228897E-2</v>
      </c>
      <c r="GD96" s="41">
        <v>5.9890375337989368E-2</v>
      </c>
      <c r="GE96" s="41">
        <v>0.1113394104432289</v>
      </c>
      <c r="GF96" s="41">
        <v>7.2810375337989369E-2</v>
      </c>
      <c r="GJ96"/>
      <c r="GT96" s="41">
        <v>49</v>
      </c>
      <c r="GU96" s="41">
        <v>0.15394061493105965</v>
      </c>
      <c r="GV96" s="41">
        <v>0.12887100713850785</v>
      </c>
      <c r="GW96" s="41">
        <v>0.13722754306935844</v>
      </c>
      <c r="GX96" s="41">
        <f t="shared" si="72"/>
        <v>0.20920988293105963</v>
      </c>
      <c r="GY96" s="41">
        <f t="shared" si="72"/>
        <v>0.18414027513850784</v>
      </c>
      <c r="HN96" s="45">
        <v>49</v>
      </c>
      <c r="HO96" s="41">
        <v>0.14341183137175323</v>
      </c>
      <c r="HP96" s="41">
        <v>6.9388464945946277E-2</v>
      </c>
      <c r="HQ96" s="41">
        <v>9.4062920421215265E-2</v>
      </c>
      <c r="IH96" s="45">
        <v>49</v>
      </c>
      <c r="II96" s="41">
        <v>0.12522292772150859</v>
      </c>
      <c r="IJ96" s="41">
        <v>5.2687392069716961E-2</v>
      </c>
      <c r="IK96" s="41">
        <v>7.6865903953647507E-2</v>
      </c>
      <c r="JB96" s="45">
        <v>49</v>
      </c>
      <c r="JC96" s="41">
        <v>0.16627996270939205</v>
      </c>
      <c r="JD96" s="41">
        <v>9.3045870039437456E-2</v>
      </c>
      <c r="JE96" s="41">
        <v>0.11745723426275567</v>
      </c>
      <c r="JV96">
        <v>49</v>
      </c>
      <c r="JW96" s="41">
        <v>0.16024996270939207</v>
      </c>
      <c r="JX96" s="41">
        <v>8.7015870039437462E-2</v>
      </c>
      <c r="JY96" s="41">
        <v>0.11142723426275566</v>
      </c>
    </row>
    <row r="97" spans="131:285" ht="16">
      <c r="EA97">
        <v>0.22559000000000001</v>
      </c>
      <c r="GB97">
        <v>52</v>
      </c>
      <c r="GC97" s="41">
        <v>0.10594436722576699</v>
      </c>
      <c r="GD97" s="41">
        <v>5.9386622866943115E-2</v>
      </c>
      <c r="GE97" s="41">
        <v>0.11886436722576699</v>
      </c>
      <c r="GF97" s="41">
        <v>7.2306622866943115E-2</v>
      </c>
      <c r="GJ97"/>
      <c r="GT97" s="41">
        <v>50</v>
      </c>
      <c r="GU97" s="41">
        <v>0.15394061493105965</v>
      </c>
      <c r="GV97" s="41">
        <v>0.12887100713850785</v>
      </c>
      <c r="GW97" s="41">
        <v>0.13722754306935844</v>
      </c>
      <c r="GX97" s="41">
        <f t="shared" si="72"/>
        <v>0.20920988293105963</v>
      </c>
      <c r="GY97" s="41">
        <f t="shared" si="72"/>
        <v>0.18414027513850784</v>
      </c>
      <c r="HN97" s="45">
        <v>50</v>
      </c>
      <c r="HO97" s="41">
        <v>0.14341183137175323</v>
      </c>
      <c r="HP97" s="41">
        <v>6.9388464945946277E-2</v>
      </c>
      <c r="HQ97" s="41">
        <v>9.4062920421215265E-2</v>
      </c>
      <c r="IH97" s="45">
        <v>50</v>
      </c>
      <c r="II97" s="41">
        <v>0.12522292772150859</v>
      </c>
      <c r="IJ97" s="41">
        <v>5.2687392069716961E-2</v>
      </c>
      <c r="IK97" s="41">
        <v>7.6865903953647507E-2</v>
      </c>
      <c r="JB97" s="45">
        <v>50</v>
      </c>
      <c r="JC97" s="41">
        <v>0.16627996270939205</v>
      </c>
      <c r="JD97" s="41">
        <v>9.3045870039437456E-2</v>
      </c>
      <c r="JE97" s="41">
        <v>0.11745723426275567</v>
      </c>
      <c r="JV97">
        <v>50</v>
      </c>
      <c r="JW97" s="41">
        <v>0.16024996270939207</v>
      </c>
      <c r="JX97" s="41">
        <v>8.7015870039437462E-2</v>
      </c>
      <c r="JY97" s="41">
        <v>0.11142723426275566</v>
      </c>
    </row>
    <row r="98" spans="131:285" ht="16">
      <c r="EA98">
        <v>0.22559000000000001</v>
      </c>
      <c r="GB98">
        <v>53</v>
      </c>
      <c r="GC98" s="41">
        <v>0.10594436722576699</v>
      </c>
      <c r="GD98" s="41">
        <v>5.9386622866943115E-2</v>
      </c>
      <c r="GE98" s="41">
        <v>0.11886436722576699</v>
      </c>
      <c r="GF98" s="41">
        <v>7.2306622866943115E-2</v>
      </c>
      <c r="GJ98"/>
      <c r="GT98" s="41">
        <v>51</v>
      </c>
      <c r="GU98" s="41">
        <v>0.15394061493105965</v>
      </c>
      <c r="GV98" s="41">
        <v>0.12887100713850785</v>
      </c>
      <c r="GW98" s="41">
        <v>0.13722754306935844</v>
      </c>
      <c r="GX98" s="41">
        <f t="shared" si="72"/>
        <v>0.20920988293105963</v>
      </c>
      <c r="GY98" s="41">
        <f t="shared" si="72"/>
        <v>0.18414027513850784</v>
      </c>
      <c r="HN98" s="45">
        <v>51</v>
      </c>
      <c r="HO98" s="41">
        <v>0.14341183137175323</v>
      </c>
      <c r="HP98" s="41">
        <v>6.9388464945946277E-2</v>
      </c>
      <c r="HQ98" s="41">
        <v>9.4062920421215265E-2</v>
      </c>
      <c r="IH98" s="45">
        <v>51</v>
      </c>
      <c r="II98" s="41">
        <v>0.12522292772150859</v>
      </c>
      <c r="IJ98" s="41">
        <v>5.2687392069716961E-2</v>
      </c>
      <c r="IK98" s="41">
        <v>7.6865903953647507E-2</v>
      </c>
      <c r="JB98" s="45">
        <v>51</v>
      </c>
      <c r="JC98" s="41">
        <v>0.16627996270939205</v>
      </c>
      <c r="JD98" s="41">
        <v>9.3045870039437456E-2</v>
      </c>
      <c r="JE98" s="41">
        <v>0.11745723426275567</v>
      </c>
      <c r="JV98">
        <v>51</v>
      </c>
      <c r="JW98" s="41">
        <v>0.16024996270939207</v>
      </c>
      <c r="JX98" s="41">
        <v>8.7015870039437462E-2</v>
      </c>
      <c r="JY98" s="41">
        <v>0.11142723426275566</v>
      </c>
    </row>
    <row r="99" spans="131:285" ht="16">
      <c r="EA99">
        <v>0.22559000000000001</v>
      </c>
      <c r="GB99">
        <v>54</v>
      </c>
      <c r="GC99" s="41">
        <v>0.10594436722576699</v>
      </c>
      <c r="GD99" s="41">
        <v>5.9386622866943115E-2</v>
      </c>
      <c r="GE99" s="41">
        <v>0.11886436722576699</v>
      </c>
      <c r="GF99" s="41">
        <v>7.2306622866943115E-2</v>
      </c>
      <c r="GJ99"/>
      <c r="GT99" s="41">
        <v>52</v>
      </c>
      <c r="GU99" s="41">
        <v>0.15850811471377416</v>
      </c>
      <c r="GV99" s="41">
        <v>0.12858149513511269</v>
      </c>
      <c r="GW99" s="41">
        <v>0.13855703499466648</v>
      </c>
      <c r="GX99" s="41">
        <f t="shared" si="72"/>
        <v>0.21377738271377417</v>
      </c>
      <c r="GY99" s="41">
        <f t="shared" si="72"/>
        <v>0.18385076313511267</v>
      </c>
      <c r="HN99" s="45">
        <v>52</v>
      </c>
      <c r="HO99" s="41">
        <v>0.19347021742071333</v>
      </c>
      <c r="HP99" s="41">
        <v>8.8388605318764135E-2</v>
      </c>
      <c r="HQ99" s="41">
        <v>0.12341580935274722</v>
      </c>
      <c r="IH99" s="45">
        <v>52</v>
      </c>
      <c r="II99" s="41">
        <v>0.16696893118588843</v>
      </c>
      <c r="IJ99" s="41">
        <v>5.6177385221096832E-2</v>
      </c>
      <c r="IK99" s="41">
        <v>9.3107900542694036E-2</v>
      </c>
      <c r="JB99" s="45">
        <v>52</v>
      </c>
      <c r="JC99" s="41">
        <v>0.20666538937511761</v>
      </c>
      <c r="JD99" s="41">
        <v>0.10053076501990989</v>
      </c>
      <c r="JE99" s="41">
        <v>0.13590897313831249</v>
      </c>
      <c r="JV99">
        <v>52</v>
      </c>
      <c r="JW99" s="41">
        <v>0.2006353893751176</v>
      </c>
      <c r="JX99" s="41">
        <v>9.4500765019909894E-2</v>
      </c>
      <c r="JY99" s="41">
        <v>0.12987897313831248</v>
      </c>
    </row>
    <row r="100" spans="131:285" ht="16">
      <c r="EA100">
        <v>0.40943000000000002</v>
      </c>
      <c r="GB100">
        <v>55</v>
      </c>
      <c r="GC100" s="41">
        <v>0.10594436722576699</v>
      </c>
      <c r="GD100" s="41">
        <v>5.9386622866943115E-2</v>
      </c>
      <c r="GE100" s="41">
        <v>0.11886436722576699</v>
      </c>
      <c r="GF100" s="41">
        <v>7.2306622866943115E-2</v>
      </c>
      <c r="GJ100"/>
      <c r="GT100" s="41">
        <v>53</v>
      </c>
      <c r="GU100" s="41">
        <v>0.15850811471377416</v>
      </c>
      <c r="GV100" s="41">
        <v>0.12858149513511269</v>
      </c>
      <c r="GW100" s="41">
        <v>0.13855703499466648</v>
      </c>
      <c r="GX100" s="41">
        <f t="shared" si="72"/>
        <v>0.21377738271377417</v>
      </c>
      <c r="GY100" s="41">
        <f t="shared" si="72"/>
        <v>0.18385076313511267</v>
      </c>
      <c r="HN100" s="45">
        <v>53</v>
      </c>
      <c r="HO100" s="41">
        <v>0.19347021742071333</v>
      </c>
      <c r="HP100" s="41">
        <v>8.8388605318764135E-2</v>
      </c>
      <c r="HQ100" s="41">
        <v>0.12341580935274722</v>
      </c>
      <c r="IH100" s="45">
        <v>53</v>
      </c>
      <c r="II100" s="41">
        <v>0.16696893118588843</v>
      </c>
      <c r="IJ100" s="41">
        <v>5.6177385221096832E-2</v>
      </c>
      <c r="IK100" s="41">
        <v>9.3107900542694036E-2</v>
      </c>
      <c r="JB100" s="45">
        <v>53</v>
      </c>
      <c r="JC100" s="41">
        <v>0.20666538937511761</v>
      </c>
      <c r="JD100" s="41">
        <v>0.10053076501990989</v>
      </c>
      <c r="JE100" s="41">
        <v>0.13590897313831249</v>
      </c>
      <c r="JV100">
        <v>53</v>
      </c>
      <c r="JW100" s="41">
        <v>0.2006353893751176</v>
      </c>
      <c r="JX100" s="41">
        <v>9.4500765019909894E-2</v>
      </c>
      <c r="JY100" s="41">
        <v>0.12987897313831248</v>
      </c>
    </row>
    <row r="101" spans="131:285" ht="16">
      <c r="EA101">
        <v>0.40943000000000002</v>
      </c>
      <c r="GB101">
        <v>56</v>
      </c>
      <c r="GC101" s="41">
        <v>0.11172815559090911</v>
      </c>
      <c r="GD101" s="41">
        <v>5.8843965462476472E-2</v>
      </c>
      <c r="GE101" s="41">
        <v>0.12464815559090911</v>
      </c>
      <c r="GF101" s="41">
        <v>7.1763965462476473E-2</v>
      </c>
      <c r="GJ101"/>
      <c r="GT101" s="41">
        <v>54</v>
      </c>
      <c r="GU101" s="41">
        <v>0.15850811471377416</v>
      </c>
      <c r="GV101" s="41">
        <v>0.12858149513511269</v>
      </c>
      <c r="GW101" s="41">
        <v>0.13855703499466648</v>
      </c>
      <c r="GX101" s="41">
        <f t="shared" si="72"/>
        <v>0.21377738271377417</v>
      </c>
      <c r="GY101" s="41">
        <f t="shared" si="72"/>
        <v>0.18385076313511267</v>
      </c>
      <c r="HN101" s="45">
        <v>54</v>
      </c>
      <c r="HO101" s="41">
        <v>0.19347021742071333</v>
      </c>
      <c r="HP101" s="41">
        <v>8.8388605318764135E-2</v>
      </c>
      <c r="HQ101" s="41">
        <v>0.12341580935274722</v>
      </c>
      <c r="IH101" s="45">
        <v>54</v>
      </c>
      <c r="II101" s="41">
        <v>0.16696893118588843</v>
      </c>
      <c r="IJ101" s="41">
        <v>5.6177385221096832E-2</v>
      </c>
      <c r="IK101" s="41">
        <v>9.3107900542694036E-2</v>
      </c>
      <c r="JB101" s="45">
        <v>54</v>
      </c>
      <c r="JC101" s="41">
        <v>0.20666538937511761</v>
      </c>
      <c r="JD101" s="41">
        <v>0.10053076501990989</v>
      </c>
      <c r="JE101" s="41">
        <v>0.13590897313831249</v>
      </c>
      <c r="JV101">
        <v>54</v>
      </c>
      <c r="JW101" s="41">
        <v>0.2006353893751176</v>
      </c>
      <c r="JX101" s="41">
        <v>9.4500765019909894E-2</v>
      </c>
      <c r="JY101" s="41">
        <v>0.12987897313831248</v>
      </c>
    </row>
    <row r="102" spans="131:285" ht="16">
      <c r="EA102">
        <v>0.40943000000000002</v>
      </c>
      <c r="GB102">
        <v>57</v>
      </c>
      <c r="GC102" s="41">
        <v>0.11172815559090911</v>
      </c>
      <c r="GD102" s="41">
        <v>5.8843965462476472E-2</v>
      </c>
      <c r="GE102" s="41">
        <v>0.12464815559090911</v>
      </c>
      <c r="GF102" s="41">
        <v>7.1763965462476473E-2</v>
      </c>
      <c r="GJ102"/>
      <c r="GT102" s="41">
        <v>55</v>
      </c>
      <c r="GU102" s="41">
        <v>0.15850811471377416</v>
      </c>
      <c r="GV102" s="41">
        <v>0.12858149513511269</v>
      </c>
      <c r="GW102" s="41">
        <v>0.13855703499466648</v>
      </c>
      <c r="GX102" s="41">
        <f t="shared" si="72"/>
        <v>0.21377738271377417</v>
      </c>
      <c r="GY102" s="41">
        <f t="shared" si="72"/>
        <v>0.18385076313511267</v>
      </c>
      <c r="HN102" s="45">
        <v>55</v>
      </c>
      <c r="HO102" s="41">
        <v>0.19347021742071333</v>
      </c>
      <c r="HP102" s="41">
        <v>8.8388605318764135E-2</v>
      </c>
      <c r="HQ102" s="41">
        <v>0.12341580935274722</v>
      </c>
      <c r="IH102" s="45">
        <v>55</v>
      </c>
      <c r="II102" s="41">
        <v>0.16696893118588843</v>
      </c>
      <c r="IJ102" s="41">
        <v>5.6177385221096832E-2</v>
      </c>
      <c r="IK102" s="41">
        <v>9.3107900542694036E-2</v>
      </c>
      <c r="JB102" s="45">
        <v>55</v>
      </c>
      <c r="JC102" s="41">
        <v>0.20666538937511761</v>
      </c>
      <c r="JD102" s="41">
        <v>0.10053076501990989</v>
      </c>
      <c r="JE102" s="41">
        <v>0.13590897313831249</v>
      </c>
      <c r="JV102">
        <v>55</v>
      </c>
      <c r="JW102" s="41">
        <v>0.2006353893751176</v>
      </c>
      <c r="JX102" s="41">
        <v>9.4500765019909894E-2</v>
      </c>
      <c r="JY102" s="41">
        <v>0.12987897313831248</v>
      </c>
    </row>
    <row r="103" spans="131:285" ht="16">
      <c r="EA103">
        <v>0.40943000000000002</v>
      </c>
      <c r="GB103">
        <v>58</v>
      </c>
      <c r="GC103" s="41">
        <v>0.11172815559090911</v>
      </c>
      <c r="GD103" s="41">
        <v>5.8843965462476472E-2</v>
      </c>
      <c r="GE103" s="41">
        <v>0.12464815559090911</v>
      </c>
      <c r="GF103" s="41">
        <v>7.1763965462476473E-2</v>
      </c>
      <c r="GJ103"/>
      <c r="GT103" s="41">
        <v>56</v>
      </c>
      <c r="GU103" s="41">
        <v>0.16275556387621098</v>
      </c>
      <c r="GV103" s="41">
        <v>0.1274593035584668</v>
      </c>
      <c r="GW103" s="41">
        <v>0.13922472366438154</v>
      </c>
      <c r="GX103" s="41">
        <f t="shared" si="72"/>
        <v>0.21802483187621097</v>
      </c>
      <c r="GY103" s="41">
        <f t="shared" si="72"/>
        <v>0.18272857155846678</v>
      </c>
      <c r="HN103" s="45">
        <v>56</v>
      </c>
      <c r="HO103" s="41">
        <v>0.24259342920666291</v>
      </c>
      <c r="HP103" s="41">
        <v>0.11971674064132201</v>
      </c>
      <c r="HQ103" s="41">
        <v>0.16067563682976896</v>
      </c>
      <c r="IH103" s="45">
        <v>56</v>
      </c>
      <c r="II103" s="41">
        <v>0.22538224478578486</v>
      </c>
      <c r="IJ103" s="41">
        <v>7.2977475727284496E-2</v>
      </c>
      <c r="IK103" s="41">
        <v>0.12377906541345127</v>
      </c>
      <c r="JB103" s="45">
        <v>56</v>
      </c>
      <c r="JC103" s="41">
        <v>0.26204282444005272</v>
      </c>
      <c r="JD103" s="41">
        <v>0.12092295795322205</v>
      </c>
      <c r="JE103" s="41">
        <v>0.1679629134488323</v>
      </c>
      <c r="JV103">
        <v>56</v>
      </c>
      <c r="JW103" s="41">
        <v>0.25601282444005269</v>
      </c>
      <c r="JX103" s="41">
        <v>0.11489295795322205</v>
      </c>
      <c r="JY103" s="41">
        <v>0.16193291344883229</v>
      </c>
    </row>
    <row r="104" spans="131:285" ht="16">
      <c r="EA104">
        <v>0.40943000000000002</v>
      </c>
      <c r="GB104">
        <v>59</v>
      </c>
      <c r="GC104" s="41">
        <v>0.11172815559090911</v>
      </c>
      <c r="GD104" s="41">
        <v>5.8843965462476472E-2</v>
      </c>
      <c r="GE104" s="41">
        <v>0.12464815559090911</v>
      </c>
      <c r="GF104" s="41">
        <v>7.1763965462476473E-2</v>
      </c>
      <c r="GJ104"/>
      <c r="GT104" s="41">
        <v>57</v>
      </c>
      <c r="GU104" s="41">
        <v>0.16275556387621098</v>
      </c>
      <c r="GV104" s="41">
        <v>0.1274593035584668</v>
      </c>
      <c r="GW104" s="41">
        <v>0.13922472366438154</v>
      </c>
      <c r="GX104" s="41">
        <f t="shared" si="72"/>
        <v>0.21802483187621097</v>
      </c>
      <c r="GY104" s="41">
        <f t="shared" si="72"/>
        <v>0.18272857155846678</v>
      </c>
      <c r="HN104" s="45">
        <v>57</v>
      </c>
      <c r="HO104" s="41">
        <v>0.24259342920666291</v>
      </c>
      <c r="HP104" s="41">
        <v>0.11971674064132201</v>
      </c>
      <c r="HQ104" s="41">
        <v>0.16067563682976896</v>
      </c>
      <c r="IH104" s="45">
        <v>57</v>
      </c>
      <c r="II104" s="41">
        <v>0.22538224478578486</v>
      </c>
      <c r="IJ104" s="41">
        <v>7.2977475727284496E-2</v>
      </c>
      <c r="IK104" s="41">
        <v>0.12377906541345127</v>
      </c>
      <c r="JB104" s="45">
        <v>57</v>
      </c>
      <c r="JC104" s="41">
        <v>0.26204282444005272</v>
      </c>
      <c r="JD104" s="41">
        <v>0.12092295795322205</v>
      </c>
      <c r="JE104" s="41">
        <v>0.1679629134488323</v>
      </c>
      <c r="JV104">
        <v>57</v>
      </c>
      <c r="JW104" s="41">
        <v>0.25601282444005269</v>
      </c>
      <c r="JX104" s="41">
        <v>0.11489295795322205</v>
      </c>
      <c r="JY104" s="41">
        <v>0.16193291344883229</v>
      </c>
    </row>
    <row r="105" spans="131:285" ht="16">
      <c r="EA105">
        <v>0.40943000000000002</v>
      </c>
      <c r="GB105">
        <v>60</v>
      </c>
      <c r="GC105" s="41">
        <v>0.12121778533813289</v>
      </c>
      <c r="GD105" s="41">
        <v>5.9234267285497841E-2</v>
      </c>
      <c r="GE105" s="41">
        <v>0.13413778533813289</v>
      </c>
      <c r="GF105" s="41">
        <v>7.2154267285497842E-2</v>
      </c>
      <c r="GJ105"/>
      <c r="GT105" s="41">
        <v>58</v>
      </c>
      <c r="GU105" s="41">
        <v>0.16275556387621098</v>
      </c>
      <c r="GV105" s="41">
        <v>0.1274593035584668</v>
      </c>
      <c r="GW105" s="41">
        <v>0.13922472366438154</v>
      </c>
      <c r="GX105" s="41">
        <f t="shared" si="72"/>
        <v>0.21802483187621097</v>
      </c>
      <c r="GY105" s="41">
        <f t="shared" si="72"/>
        <v>0.18272857155846678</v>
      </c>
      <c r="HN105" s="45">
        <v>58</v>
      </c>
      <c r="HO105" s="41">
        <v>0.24259342920666291</v>
      </c>
      <c r="HP105" s="41">
        <v>0.11971674064132201</v>
      </c>
      <c r="HQ105" s="41">
        <v>0.16067563682976896</v>
      </c>
      <c r="IH105" s="45">
        <v>58</v>
      </c>
      <c r="II105" s="41">
        <v>0.22538224478578486</v>
      </c>
      <c r="IJ105" s="41">
        <v>7.2977475727284496E-2</v>
      </c>
      <c r="IK105" s="41">
        <v>0.12377906541345127</v>
      </c>
      <c r="JB105" s="45">
        <v>58</v>
      </c>
      <c r="JC105" s="41">
        <v>0.26204282444005272</v>
      </c>
      <c r="JD105" s="41">
        <v>0.12092295795322205</v>
      </c>
      <c r="JE105" s="41">
        <v>0.1679629134488323</v>
      </c>
      <c r="JV105">
        <v>58</v>
      </c>
      <c r="JW105" s="41">
        <v>0.25601282444005269</v>
      </c>
      <c r="JX105" s="41">
        <v>0.11489295795322205</v>
      </c>
      <c r="JY105" s="41">
        <v>0.16193291344883229</v>
      </c>
    </row>
    <row r="106" spans="131:285" ht="16">
      <c r="EA106">
        <v>0.40943000000000002</v>
      </c>
      <c r="GB106">
        <v>61</v>
      </c>
      <c r="GC106" s="41">
        <v>0.12121778533813289</v>
      </c>
      <c r="GD106" s="41">
        <v>5.9234267285497841E-2</v>
      </c>
      <c r="GE106" s="41">
        <v>0.13413778533813289</v>
      </c>
      <c r="GF106" s="41">
        <v>7.2154267285497842E-2</v>
      </c>
      <c r="GJ106"/>
      <c r="GT106" s="41">
        <v>59</v>
      </c>
      <c r="GU106" s="41">
        <v>0.16275556387621098</v>
      </c>
      <c r="GV106" s="41">
        <v>0.1274593035584668</v>
      </c>
      <c r="GW106" s="41">
        <v>0.13922472366438154</v>
      </c>
      <c r="GX106" s="41">
        <f t="shared" si="72"/>
        <v>0.21802483187621097</v>
      </c>
      <c r="GY106" s="41">
        <f t="shared" si="72"/>
        <v>0.18272857155846678</v>
      </c>
      <c r="HN106" s="45">
        <v>59</v>
      </c>
      <c r="HO106" s="41">
        <v>0.24259342920666291</v>
      </c>
      <c r="HP106" s="41">
        <v>0.11971674064132201</v>
      </c>
      <c r="HQ106" s="41">
        <v>0.16067563682976896</v>
      </c>
      <c r="IH106" s="45">
        <v>59</v>
      </c>
      <c r="II106" s="41">
        <v>0.22538224478578486</v>
      </c>
      <c r="IJ106" s="41">
        <v>7.2977475727284496E-2</v>
      </c>
      <c r="IK106" s="41">
        <v>0.12377906541345127</v>
      </c>
      <c r="JB106" s="45">
        <v>59</v>
      </c>
      <c r="JC106" s="41">
        <v>0.26204282444005272</v>
      </c>
      <c r="JD106" s="41">
        <v>0.12092295795322205</v>
      </c>
      <c r="JE106" s="41">
        <v>0.1679629134488323</v>
      </c>
      <c r="JV106">
        <v>59</v>
      </c>
      <c r="JW106" s="41">
        <v>0.25601282444005269</v>
      </c>
      <c r="JX106" s="41">
        <v>0.11489295795322205</v>
      </c>
      <c r="JY106" s="41">
        <v>0.16193291344883229</v>
      </c>
    </row>
    <row r="107" spans="131:285" ht="16">
      <c r="EA107">
        <v>0.40943000000000002</v>
      </c>
      <c r="GB107">
        <v>62</v>
      </c>
      <c r="GC107" s="41">
        <v>0.12121778533813289</v>
      </c>
      <c r="GD107" s="41">
        <v>5.9234267285497841E-2</v>
      </c>
      <c r="GE107" s="41">
        <v>0.13413778533813289</v>
      </c>
      <c r="GF107" s="41">
        <v>7.2154267285497842E-2</v>
      </c>
      <c r="GJ107"/>
      <c r="GT107" s="41">
        <v>60</v>
      </c>
      <c r="GU107" s="41">
        <v>0.17800158461828441</v>
      </c>
      <c r="GV107" s="41">
        <v>0.12970467957815612</v>
      </c>
      <c r="GW107" s="41">
        <v>0.14580364792486555</v>
      </c>
      <c r="GX107" s="41">
        <f t="shared" si="72"/>
        <v>0.2332708526182844</v>
      </c>
      <c r="GY107" s="41">
        <f t="shared" si="72"/>
        <v>0.18497394757815611</v>
      </c>
      <c r="HN107" s="45">
        <v>60</v>
      </c>
      <c r="HO107" s="41">
        <v>0.29352387222379073</v>
      </c>
      <c r="HP107" s="41">
        <v>0.1439297126189594</v>
      </c>
      <c r="HQ107" s="41">
        <v>0.19379443248723646</v>
      </c>
      <c r="IH107" s="45">
        <v>60</v>
      </c>
      <c r="II107" s="41">
        <v>0.281737633763881</v>
      </c>
      <c r="IJ107" s="41">
        <v>7.9268449591509041E-2</v>
      </c>
      <c r="IK107" s="41">
        <v>0.14675817764896637</v>
      </c>
      <c r="JB107" s="45">
        <v>60</v>
      </c>
      <c r="JC107" s="41">
        <v>0.31321815146809712</v>
      </c>
      <c r="JD107" s="41">
        <v>0.13785015074316537</v>
      </c>
      <c r="JE107" s="41">
        <v>0.19630615098480927</v>
      </c>
      <c r="JV107">
        <v>60</v>
      </c>
      <c r="JW107" s="41">
        <v>0.30718815146809708</v>
      </c>
      <c r="JX107" s="41">
        <v>0.13182015074316536</v>
      </c>
      <c r="JY107" s="41">
        <v>0.19027615098480927</v>
      </c>
    </row>
    <row r="108" spans="131:285" ht="16">
      <c r="EA108">
        <v>0.40943000000000002</v>
      </c>
      <c r="GB108">
        <v>63</v>
      </c>
      <c r="GC108" s="41">
        <v>0.12121778533813289</v>
      </c>
      <c r="GD108" s="41">
        <v>5.9234267285497841E-2</v>
      </c>
      <c r="GE108" s="41">
        <v>0.13413778533813289</v>
      </c>
      <c r="GF108" s="41">
        <v>7.2154267285497842E-2</v>
      </c>
      <c r="GJ108"/>
      <c r="GT108" s="41">
        <v>61</v>
      </c>
      <c r="GU108" s="41">
        <v>0.17800158461828441</v>
      </c>
      <c r="GV108" s="41">
        <v>0.12970467957815612</v>
      </c>
      <c r="GW108" s="41">
        <v>0.14580364792486555</v>
      </c>
      <c r="GX108" s="41">
        <f t="shared" si="72"/>
        <v>0.2332708526182844</v>
      </c>
      <c r="GY108" s="41">
        <f t="shared" si="72"/>
        <v>0.18497394757815611</v>
      </c>
      <c r="HN108" s="45">
        <v>61</v>
      </c>
      <c r="HO108" s="41">
        <v>0.29352387222379073</v>
      </c>
      <c r="HP108" s="41">
        <v>0.1439297126189594</v>
      </c>
      <c r="HQ108" s="41">
        <v>0.19379443248723646</v>
      </c>
      <c r="IH108" s="45">
        <v>61</v>
      </c>
      <c r="II108" s="41">
        <v>0.281737633763881</v>
      </c>
      <c r="IJ108" s="41">
        <v>7.9268449591509041E-2</v>
      </c>
      <c r="IK108" s="41">
        <v>0.14675817764896637</v>
      </c>
      <c r="JB108" s="45">
        <v>61</v>
      </c>
      <c r="JC108" s="41">
        <v>0.31321815146809712</v>
      </c>
      <c r="JD108" s="41">
        <v>0.13785015074316537</v>
      </c>
      <c r="JE108" s="41">
        <v>0.19630615098480927</v>
      </c>
      <c r="JV108">
        <v>61</v>
      </c>
      <c r="JW108" s="41">
        <v>0.30718815146809708</v>
      </c>
      <c r="JX108" s="41">
        <v>0.13182015074316536</v>
      </c>
      <c r="JY108" s="41">
        <v>0.19027615098480927</v>
      </c>
    </row>
    <row r="109" spans="131:285" ht="16">
      <c r="EA109">
        <v>0.40943000000000002</v>
      </c>
      <c r="GB109">
        <v>64</v>
      </c>
      <c r="GC109" s="41">
        <v>0.13171604054961888</v>
      </c>
      <c r="GD109" s="41">
        <v>6.2213302377956199E-2</v>
      </c>
      <c r="GE109" s="41">
        <v>0.14463604054961887</v>
      </c>
      <c r="GF109" s="41">
        <v>7.5133302377956193E-2</v>
      </c>
      <c r="GJ109"/>
      <c r="GT109" s="41">
        <v>62</v>
      </c>
      <c r="GU109" s="41">
        <v>0.17800158461828441</v>
      </c>
      <c r="GV109" s="41">
        <v>0.12970467957815612</v>
      </c>
      <c r="GW109" s="41">
        <v>0.14580364792486555</v>
      </c>
      <c r="GX109" s="41">
        <f t="shared" si="72"/>
        <v>0.2332708526182844</v>
      </c>
      <c r="GY109" s="41">
        <f t="shared" si="72"/>
        <v>0.18497394757815611</v>
      </c>
      <c r="HN109" s="45">
        <v>62</v>
      </c>
      <c r="HO109" s="41">
        <v>0.29352387222379073</v>
      </c>
      <c r="HP109" s="41">
        <v>0.1439297126189594</v>
      </c>
      <c r="HQ109" s="41">
        <v>0.19379443248723646</v>
      </c>
      <c r="IH109" s="45">
        <v>62</v>
      </c>
      <c r="II109" s="41">
        <v>0.281737633763881</v>
      </c>
      <c r="IJ109" s="41">
        <v>7.9268449591509041E-2</v>
      </c>
      <c r="IK109" s="41">
        <v>0.14675817764896637</v>
      </c>
      <c r="JB109" s="45">
        <v>62</v>
      </c>
      <c r="JC109" s="41">
        <v>0.31321815146809712</v>
      </c>
      <c r="JD109" s="41">
        <v>0.13785015074316537</v>
      </c>
      <c r="JE109" s="41">
        <v>0.19630615098480927</v>
      </c>
      <c r="JV109">
        <v>62</v>
      </c>
      <c r="JW109" s="41">
        <v>0.30718815146809708</v>
      </c>
      <c r="JX109" s="41">
        <v>0.13182015074316536</v>
      </c>
      <c r="JY109" s="41">
        <v>0.19027615098480927</v>
      </c>
    </row>
    <row r="110" spans="131:285" ht="16">
      <c r="EA110">
        <v>0.40943000000000002</v>
      </c>
      <c r="GB110">
        <v>65</v>
      </c>
      <c r="GC110" s="41">
        <v>0.13171604054961888</v>
      </c>
      <c r="GD110" s="41">
        <v>6.2213302377956199E-2</v>
      </c>
      <c r="GE110" s="41">
        <v>0.14463604054961887</v>
      </c>
      <c r="GF110" s="41">
        <v>7.5133302377956193E-2</v>
      </c>
      <c r="GJ110"/>
      <c r="GT110" s="41">
        <v>63</v>
      </c>
      <c r="GU110" s="41">
        <v>0.17800158461828441</v>
      </c>
      <c r="GV110" s="41">
        <v>0.12970467957815612</v>
      </c>
      <c r="GW110" s="41">
        <v>0.14580364792486555</v>
      </c>
      <c r="GX110" s="41">
        <f t="shared" si="72"/>
        <v>0.2332708526182844</v>
      </c>
      <c r="GY110" s="41">
        <f t="shared" si="72"/>
        <v>0.18497394757815611</v>
      </c>
      <c r="HN110" s="45">
        <v>63</v>
      </c>
      <c r="HO110" s="41">
        <v>0.29352387222379073</v>
      </c>
      <c r="HP110" s="41">
        <v>0.1439297126189594</v>
      </c>
      <c r="HQ110" s="41">
        <v>0.19379443248723646</v>
      </c>
      <c r="IH110" s="45">
        <v>63</v>
      </c>
      <c r="II110" s="41">
        <v>0.281737633763881</v>
      </c>
      <c r="IJ110" s="41">
        <v>7.9268449591509041E-2</v>
      </c>
      <c r="IK110" s="41">
        <v>0.14675817764896637</v>
      </c>
      <c r="JB110" s="45">
        <v>63</v>
      </c>
      <c r="JC110" s="41">
        <v>0.31321815146809712</v>
      </c>
      <c r="JD110" s="41">
        <v>0.13785015074316537</v>
      </c>
      <c r="JE110" s="41">
        <v>0.19630615098480927</v>
      </c>
      <c r="JV110">
        <v>63</v>
      </c>
      <c r="JW110" s="41">
        <v>0.30718815146809708</v>
      </c>
      <c r="JX110" s="41">
        <v>0.13182015074316536</v>
      </c>
      <c r="JY110" s="41">
        <v>0.19027615098480927</v>
      </c>
    </row>
    <row r="111" spans="131:285" ht="16">
      <c r="EA111">
        <v>0.40943000000000002</v>
      </c>
      <c r="GB111">
        <v>66</v>
      </c>
      <c r="GC111" s="41">
        <v>0.13171604054961888</v>
      </c>
      <c r="GD111" s="41">
        <v>6.2213302377956199E-2</v>
      </c>
      <c r="GE111" s="41">
        <v>0.14463604054961887</v>
      </c>
      <c r="GF111" s="41">
        <v>7.5133302377956193E-2</v>
      </c>
      <c r="GJ111"/>
      <c r="GT111" s="41">
        <v>64</v>
      </c>
      <c r="GU111" s="41">
        <v>0.18781563673203777</v>
      </c>
      <c r="GV111" s="41">
        <v>0.13895636951510182</v>
      </c>
      <c r="GW111" s="41">
        <v>0.15524279192074714</v>
      </c>
      <c r="GX111" s="41">
        <f t="shared" si="72"/>
        <v>0.24308490473203775</v>
      </c>
      <c r="GY111" s="41">
        <f t="shared" si="72"/>
        <v>0.1942256375151018</v>
      </c>
      <c r="HN111" s="45">
        <v>64</v>
      </c>
      <c r="HO111" s="41">
        <v>0.26874923836580084</v>
      </c>
      <c r="HP111" s="41">
        <v>0.18627410624955881</v>
      </c>
      <c r="HQ111" s="41">
        <v>0.21376581695497279</v>
      </c>
      <c r="IH111" s="45">
        <v>64</v>
      </c>
      <c r="II111" s="41">
        <v>0.26505138320511001</v>
      </c>
      <c r="IJ111" s="41">
        <v>9.9533791184359108E-2</v>
      </c>
      <c r="IK111" s="41">
        <v>0.15470632185794281</v>
      </c>
      <c r="JB111" s="45">
        <v>64</v>
      </c>
      <c r="JC111" s="41">
        <v>0.2952787798060183</v>
      </c>
      <c r="JD111" s="41">
        <v>0.165174392288814</v>
      </c>
      <c r="JE111" s="41">
        <v>0.20854252146121535</v>
      </c>
      <c r="JV111">
        <v>64</v>
      </c>
      <c r="JW111" s="41">
        <v>0.28924877980601826</v>
      </c>
      <c r="JX111" s="41">
        <v>0.159144392288814</v>
      </c>
      <c r="JY111" s="41">
        <v>0.20251252146121534</v>
      </c>
    </row>
    <row r="112" spans="131:285" ht="16">
      <c r="EA112">
        <v>0.40943000000000002</v>
      </c>
      <c r="GB112">
        <v>67</v>
      </c>
      <c r="GC112" s="41">
        <v>0.13171604054961888</v>
      </c>
      <c r="GD112" s="41">
        <v>6.2213302377956199E-2</v>
      </c>
      <c r="GE112" s="41">
        <v>0.14463604054961887</v>
      </c>
      <c r="GF112" s="41">
        <v>7.5133302377956193E-2</v>
      </c>
      <c r="GJ112"/>
      <c r="GT112" s="41">
        <v>65</v>
      </c>
      <c r="GU112" s="41">
        <v>0.18781563673203777</v>
      </c>
      <c r="GV112" s="41">
        <v>0.13895636951510182</v>
      </c>
      <c r="GW112" s="41">
        <v>0.15524279192074714</v>
      </c>
      <c r="GX112" s="41">
        <f t="shared" ref="GX112:GY142" si="73">GU112+$GU$45</f>
        <v>0.24308490473203775</v>
      </c>
      <c r="GY112" s="41">
        <f t="shared" si="73"/>
        <v>0.1942256375151018</v>
      </c>
      <c r="HN112" s="45">
        <v>65</v>
      </c>
      <c r="HO112" s="41">
        <v>0.26874923836580084</v>
      </c>
      <c r="HP112" s="41">
        <v>0.18627410624955881</v>
      </c>
      <c r="HQ112" s="41">
        <v>0.21376581695497279</v>
      </c>
      <c r="IH112" s="45">
        <v>65</v>
      </c>
      <c r="II112" s="41">
        <v>0.26505138320511001</v>
      </c>
      <c r="IJ112" s="41">
        <v>9.9533791184359108E-2</v>
      </c>
      <c r="IK112" s="41">
        <v>0.15470632185794281</v>
      </c>
      <c r="JB112" s="45">
        <v>65</v>
      </c>
      <c r="JC112" s="41">
        <v>0.2952787798060183</v>
      </c>
      <c r="JD112" s="41">
        <v>0.165174392288814</v>
      </c>
      <c r="JE112" s="41">
        <v>0.20854252146121535</v>
      </c>
      <c r="JV112">
        <v>65</v>
      </c>
      <c r="JW112" s="41">
        <v>0.28924877980601826</v>
      </c>
      <c r="JX112" s="41">
        <v>0.159144392288814</v>
      </c>
      <c r="JY112" s="41">
        <v>0.20251252146121534</v>
      </c>
    </row>
    <row r="113" spans="131:285" ht="16">
      <c r="EA113">
        <v>0.40943000000000002</v>
      </c>
      <c r="GB113">
        <v>68</v>
      </c>
      <c r="GC113" s="41">
        <v>0.13427801007105214</v>
      </c>
      <c r="GD113" s="41">
        <v>7.1919394348293114E-2</v>
      </c>
      <c r="GE113" s="41">
        <v>0.14719801007105213</v>
      </c>
      <c r="GF113" s="41">
        <v>8.4839394348293115E-2</v>
      </c>
      <c r="GJ113"/>
      <c r="GT113" s="41">
        <v>66</v>
      </c>
      <c r="GU113" s="41">
        <v>0.18781563673203777</v>
      </c>
      <c r="GV113" s="41">
        <v>0.13895636951510182</v>
      </c>
      <c r="GW113" s="41">
        <v>0.15524279192074714</v>
      </c>
      <c r="GX113" s="41">
        <f t="shared" si="73"/>
        <v>0.24308490473203775</v>
      </c>
      <c r="GY113" s="41">
        <f t="shared" si="73"/>
        <v>0.1942256375151018</v>
      </c>
      <c r="HN113" s="45">
        <v>66</v>
      </c>
      <c r="HO113" s="41">
        <v>0.26874923836580084</v>
      </c>
      <c r="HP113" s="41">
        <v>0.18627410624955881</v>
      </c>
      <c r="HQ113" s="41">
        <v>0.21376581695497279</v>
      </c>
      <c r="IH113" s="45">
        <v>66</v>
      </c>
      <c r="II113" s="41">
        <v>0.26505138320511001</v>
      </c>
      <c r="IJ113" s="41">
        <v>9.9533791184359108E-2</v>
      </c>
      <c r="IK113" s="41">
        <v>0.15470632185794281</v>
      </c>
      <c r="JB113" s="45">
        <v>66</v>
      </c>
      <c r="JC113" s="41">
        <v>0.2952787798060183</v>
      </c>
      <c r="JD113" s="41">
        <v>0.165174392288814</v>
      </c>
      <c r="JE113" s="41">
        <v>0.20854252146121535</v>
      </c>
      <c r="JV113">
        <v>66</v>
      </c>
      <c r="JW113" s="41">
        <v>0.28924877980601826</v>
      </c>
      <c r="JX113" s="41">
        <v>0.159144392288814</v>
      </c>
      <c r="JY113" s="41">
        <v>0.20251252146121534</v>
      </c>
    </row>
    <row r="114" spans="131:285" ht="16">
      <c r="EA114">
        <v>0.40943000000000002</v>
      </c>
      <c r="GB114">
        <v>69</v>
      </c>
      <c r="GC114" s="41">
        <v>0.13427801007105214</v>
      </c>
      <c r="GD114" s="41">
        <v>7.1919394348293114E-2</v>
      </c>
      <c r="GE114" s="41">
        <v>0.14719801007105213</v>
      </c>
      <c r="GF114" s="41">
        <v>8.4839394348293115E-2</v>
      </c>
      <c r="GJ114"/>
      <c r="GT114" s="41">
        <v>67</v>
      </c>
      <c r="GU114" s="41">
        <v>0.18781563673203777</v>
      </c>
      <c r="GV114" s="41">
        <v>0.13895636951510182</v>
      </c>
      <c r="GW114" s="41">
        <v>0.15524279192074714</v>
      </c>
      <c r="GX114" s="41">
        <f t="shared" si="73"/>
        <v>0.24308490473203775</v>
      </c>
      <c r="GY114" s="41">
        <f t="shared" si="73"/>
        <v>0.1942256375151018</v>
      </c>
      <c r="HN114" s="45">
        <v>67</v>
      </c>
      <c r="HO114" s="41">
        <v>0.26874923836580084</v>
      </c>
      <c r="HP114" s="41">
        <v>0.18627410624955881</v>
      </c>
      <c r="HQ114" s="41">
        <v>0.21376581695497279</v>
      </c>
      <c r="IH114" s="45">
        <v>67</v>
      </c>
      <c r="II114" s="41">
        <v>0.26505138320511001</v>
      </c>
      <c r="IJ114" s="41">
        <v>9.9533791184359108E-2</v>
      </c>
      <c r="IK114" s="41">
        <v>0.15470632185794281</v>
      </c>
      <c r="JB114" s="45">
        <v>67</v>
      </c>
      <c r="JC114" s="41">
        <v>0.2952787798060183</v>
      </c>
      <c r="JD114" s="41">
        <v>0.165174392288814</v>
      </c>
      <c r="JE114" s="41">
        <v>0.20854252146121535</v>
      </c>
      <c r="JV114">
        <v>67</v>
      </c>
      <c r="JW114" s="41">
        <v>0.28924877980601826</v>
      </c>
      <c r="JX114" s="41">
        <v>0.159144392288814</v>
      </c>
      <c r="JY114" s="41">
        <v>0.20251252146121534</v>
      </c>
    </row>
    <row r="115" spans="131:285" ht="16">
      <c r="EA115">
        <v>0.40943000000000002</v>
      </c>
      <c r="GB115">
        <v>70</v>
      </c>
      <c r="GC115" s="41">
        <v>0.13427801007105214</v>
      </c>
      <c r="GD115" s="41">
        <v>7.1919394348293114E-2</v>
      </c>
      <c r="GE115" s="41">
        <v>0.14719801007105213</v>
      </c>
      <c r="GF115" s="41">
        <v>8.4839394348293115E-2</v>
      </c>
      <c r="GJ115"/>
      <c r="GT115" s="41">
        <v>68</v>
      </c>
      <c r="GU115" s="41">
        <v>0.19361248102235434</v>
      </c>
      <c r="GV115" s="41">
        <v>0.15370157703715492</v>
      </c>
      <c r="GW115" s="41">
        <v>0.16700521169888807</v>
      </c>
      <c r="GX115" s="41">
        <f t="shared" si="73"/>
        <v>0.24888174902235433</v>
      </c>
      <c r="GY115" s="41">
        <f t="shared" si="73"/>
        <v>0.20897084503715491</v>
      </c>
      <c r="HN115" s="45">
        <v>68</v>
      </c>
      <c r="HO115" s="41">
        <v>0.24506601730131281</v>
      </c>
      <c r="HP115" s="41">
        <v>0.12409379301801006</v>
      </c>
      <c r="HQ115" s="41">
        <v>0.16441786777911097</v>
      </c>
      <c r="IH115" s="45">
        <v>68</v>
      </c>
      <c r="II115" s="41">
        <v>0.25771926475743456</v>
      </c>
      <c r="IJ115" s="41">
        <v>9.628553134778492E-2</v>
      </c>
      <c r="IK115" s="41">
        <v>0.15009677581766814</v>
      </c>
      <c r="JB115" s="45">
        <v>68</v>
      </c>
      <c r="JC115" s="41">
        <v>0.29123920742753617</v>
      </c>
      <c r="JD115" s="41">
        <v>0.15285356724514162</v>
      </c>
      <c r="JE115" s="41">
        <v>0.19898211397260646</v>
      </c>
      <c r="JV115">
        <v>68</v>
      </c>
      <c r="JW115" s="41">
        <v>0.28520920742753619</v>
      </c>
      <c r="JX115" s="41">
        <v>0.14682356724514162</v>
      </c>
      <c r="JY115" s="41">
        <v>0.19295211397260648</v>
      </c>
    </row>
    <row r="116" spans="131:285" ht="16">
      <c r="EA116">
        <v>0.40943000000000002</v>
      </c>
      <c r="GB116">
        <v>71</v>
      </c>
      <c r="GC116" s="41">
        <v>0.13427801007105214</v>
      </c>
      <c r="GD116" s="41">
        <v>7.1919394348293114E-2</v>
      </c>
      <c r="GE116" s="41">
        <v>0.14719801007105213</v>
      </c>
      <c r="GF116" s="41">
        <v>8.4839394348293115E-2</v>
      </c>
      <c r="GJ116"/>
      <c r="GT116" s="41">
        <v>69</v>
      </c>
      <c r="GU116" s="41">
        <v>0.19361248102235434</v>
      </c>
      <c r="GV116" s="41">
        <v>0.15370157703715492</v>
      </c>
      <c r="GW116" s="41">
        <v>0.16700521169888807</v>
      </c>
      <c r="GX116" s="41">
        <f t="shared" si="73"/>
        <v>0.24888174902235433</v>
      </c>
      <c r="GY116" s="41">
        <f t="shared" si="73"/>
        <v>0.20897084503715491</v>
      </c>
      <c r="HN116" s="45">
        <v>69</v>
      </c>
      <c r="HO116" s="41">
        <v>0.24506601730131281</v>
      </c>
      <c r="HP116" s="41">
        <v>0.12409379301801006</v>
      </c>
      <c r="HQ116" s="41">
        <v>0.16441786777911097</v>
      </c>
      <c r="IH116" s="45">
        <v>69</v>
      </c>
      <c r="II116" s="41">
        <v>0.25771926475743456</v>
      </c>
      <c r="IJ116" s="41">
        <v>9.628553134778492E-2</v>
      </c>
      <c r="IK116" s="41">
        <v>0.15009677581766814</v>
      </c>
      <c r="JB116" s="45">
        <v>69</v>
      </c>
      <c r="JC116" s="41">
        <v>0.29123920742753617</v>
      </c>
      <c r="JD116" s="41">
        <v>0.15285356724514162</v>
      </c>
      <c r="JE116" s="41">
        <v>0.19898211397260646</v>
      </c>
      <c r="JV116">
        <v>69</v>
      </c>
      <c r="JW116" s="41">
        <v>0.28520920742753619</v>
      </c>
      <c r="JX116" s="41">
        <v>0.14682356724514162</v>
      </c>
      <c r="JY116" s="41">
        <v>0.19295211397260648</v>
      </c>
    </row>
    <row r="117" spans="131:285" ht="16">
      <c r="EA117">
        <v>0.40943000000000002</v>
      </c>
      <c r="GB117">
        <v>72</v>
      </c>
      <c r="GC117" s="41">
        <v>0.118039012995671</v>
      </c>
      <c r="GD117" s="41">
        <v>7.1540607955930036E-2</v>
      </c>
      <c r="GE117" s="41">
        <v>0.130959012995671</v>
      </c>
      <c r="GF117" s="41">
        <v>8.4460607955930037E-2</v>
      </c>
      <c r="GJ117"/>
      <c r="GT117" s="41">
        <v>70</v>
      </c>
      <c r="GU117" s="41">
        <v>0.19361248102235434</v>
      </c>
      <c r="GV117" s="41">
        <v>0.15370157703715492</v>
      </c>
      <c r="GW117" s="41">
        <v>0.16700521169888807</v>
      </c>
      <c r="GX117" s="41">
        <f t="shared" si="73"/>
        <v>0.24888174902235433</v>
      </c>
      <c r="GY117" s="41">
        <f t="shared" si="73"/>
        <v>0.20897084503715491</v>
      </c>
      <c r="HN117" s="45">
        <v>70</v>
      </c>
      <c r="HO117" s="41">
        <v>0.24506601730131281</v>
      </c>
      <c r="HP117" s="41">
        <v>0.12409379301801006</v>
      </c>
      <c r="HQ117" s="41">
        <v>0.16441786777911097</v>
      </c>
      <c r="IH117" s="45">
        <v>70</v>
      </c>
      <c r="II117" s="41">
        <v>0.25771926475743456</v>
      </c>
      <c r="IJ117" s="41">
        <v>9.628553134778492E-2</v>
      </c>
      <c r="IK117" s="41">
        <v>0.15009677581766814</v>
      </c>
      <c r="JB117" s="45">
        <v>70</v>
      </c>
      <c r="JC117" s="41">
        <v>0.29123920742753617</v>
      </c>
      <c r="JD117" s="41">
        <v>0.15285356724514162</v>
      </c>
      <c r="JE117" s="41">
        <v>0.19898211397260646</v>
      </c>
      <c r="JV117">
        <v>70</v>
      </c>
      <c r="JW117" s="41">
        <v>0.28520920742753619</v>
      </c>
      <c r="JX117" s="41">
        <v>0.14682356724514162</v>
      </c>
      <c r="JY117" s="41">
        <v>0.19295211397260648</v>
      </c>
    </row>
    <row r="118" spans="131:285" ht="16">
      <c r="EA118">
        <v>0.40943000000000002</v>
      </c>
      <c r="GB118">
        <v>73</v>
      </c>
      <c r="GC118" s="41">
        <v>0.118039012995671</v>
      </c>
      <c r="GD118" s="41">
        <v>7.1540607955930036E-2</v>
      </c>
      <c r="GE118" s="41">
        <v>0.130959012995671</v>
      </c>
      <c r="GF118" s="41">
        <v>8.4460607955930037E-2</v>
      </c>
      <c r="GJ118"/>
      <c r="GT118" s="41">
        <v>71</v>
      </c>
      <c r="GU118" s="41">
        <v>0.19361248102235434</v>
      </c>
      <c r="GV118" s="41">
        <v>0.15370157703715492</v>
      </c>
      <c r="GW118" s="41">
        <v>0.16700521169888807</v>
      </c>
      <c r="GX118" s="41">
        <f t="shared" si="73"/>
        <v>0.24888174902235433</v>
      </c>
      <c r="GY118" s="41">
        <f t="shared" si="73"/>
        <v>0.20897084503715491</v>
      </c>
      <c r="HN118" s="45">
        <v>71</v>
      </c>
      <c r="HO118" s="41">
        <v>0.24506601730131281</v>
      </c>
      <c r="HP118" s="41">
        <v>0.12409379301801006</v>
      </c>
      <c r="HQ118" s="41">
        <v>0.16441786777911097</v>
      </c>
      <c r="IH118" s="45">
        <v>71</v>
      </c>
      <c r="II118" s="41">
        <v>0.25771926475743456</v>
      </c>
      <c r="IJ118" s="41">
        <v>9.628553134778492E-2</v>
      </c>
      <c r="IK118" s="41">
        <v>0.15009677581766814</v>
      </c>
      <c r="JB118" s="45">
        <v>71</v>
      </c>
      <c r="JC118" s="41">
        <v>0.29123920742753617</v>
      </c>
      <c r="JD118" s="41">
        <v>0.15285356724514162</v>
      </c>
      <c r="JE118" s="41">
        <v>0.19898211397260646</v>
      </c>
      <c r="JV118">
        <v>71</v>
      </c>
      <c r="JW118" s="41">
        <v>0.28520920742753619</v>
      </c>
      <c r="JX118" s="41">
        <v>0.14682356724514162</v>
      </c>
      <c r="JY118" s="41">
        <v>0.19295211397260648</v>
      </c>
    </row>
    <row r="119" spans="131:285" ht="16">
      <c r="EA119">
        <v>0.40943000000000002</v>
      </c>
      <c r="GB119">
        <v>74</v>
      </c>
      <c r="GC119" s="41">
        <v>0.118039012995671</v>
      </c>
      <c r="GD119" s="41">
        <v>7.1540607955930036E-2</v>
      </c>
      <c r="GE119" s="41">
        <v>0.130959012995671</v>
      </c>
      <c r="GF119" s="41">
        <v>8.4460607955930037E-2</v>
      </c>
      <c r="GJ119"/>
      <c r="GT119" s="41">
        <v>72</v>
      </c>
      <c r="GU119" s="41">
        <v>0.17982982433054046</v>
      </c>
      <c r="GV119" s="41">
        <v>0.15231262022652453</v>
      </c>
      <c r="GW119" s="41">
        <v>0.16148502159452982</v>
      </c>
      <c r="GX119" s="41">
        <f t="shared" si="73"/>
        <v>0.23509909233054044</v>
      </c>
      <c r="GY119" s="41">
        <f t="shared" si="73"/>
        <v>0.20758188822652451</v>
      </c>
      <c r="HN119" s="45">
        <v>72</v>
      </c>
      <c r="HO119" s="41">
        <v>0.18611537869965175</v>
      </c>
      <c r="HP119" s="41">
        <v>9.3113039901391637E-2</v>
      </c>
      <c r="HQ119" s="41">
        <v>0.12411381950081171</v>
      </c>
      <c r="IH119" s="45">
        <v>72</v>
      </c>
      <c r="II119" s="41">
        <v>0.19521277969132317</v>
      </c>
      <c r="IJ119" s="41">
        <v>8.7894841846502675E-2</v>
      </c>
      <c r="IK119" s="41">
        <v>0.12366748779477615</v>
      </c>
      <c r="JB119" s="45">
        <v>72</v>
      </c>
      <c r="JC119" s="41">
        <v>0.23602885326969228</v>
      </c>
      <c r="JD119" s="41">
        <v>0.13168498811876531</v>
      </c>
      <c r="JE119" s="41">
        <v>0.16646627650240764</v>
      </c>
      <c r="JV119">
        <v>72</v>
      </c>
      <c r="JW119" s="41">
        <v>0.22999885326969227</v>
      </c>
      <c r="JX119" s="41">
        <v>0.1256549881187653</v>
      </c>
      <c r="JY119" s="41">
        <v>0.16043627650240766</v>
      </c>
    </row>
    <row r="120" spans="131:285" ht="16">
      <c r="EA120">
        <v>0.22559000000000001</v>
      </c>
      <c r="GB120">
        <v>75</v>
      </c>
      <c r="GC120" s="41">
        <v>0.118039012995671</v>
      </c>
      <c r="GD120" s="41">
        <v>7.1540607955930036E-2</v>
      </c>
      <c r="GE120" s="41">
        <v>0.130959012995671</v>
      </c>
      <c r="GF120" s="41">
        <v>8.4460607955930037E-2</v>
      </c>
      <c r="GJ120"/>
      <c r="GT120" s="41">
        <v>73</v>
      </c>
      <c r="GU120" s="41">
        <v>0.17982982433054046</v>
      </c>
      <c r="GV120" s="41">
        <v>0.15231262022652453</v>
      </c>
      <c r="GW120" s="41">
        <v>0.16148502159452982</v>
      </c>
      <c r="GX120" s="41">
        <f t="shared" si="73"/>
        <v>0.23509909233054044</v>
      </c>
      <c r="GY120" s="41">
        <f t="shared" si="73"/>
        <v>0.20758188822652451</v>
      </c>
      <c r="HN120" s="45">
        <v>73</v>
      </c>
      <c r="HO120" s="41">
        <v>0.18611537869965175</v>
      </c>
      <c r="HP120" s="41">
        <v>9.3113039901391637E-2</v>
      </c>
      <c r="HQ120" s="41">
        <v>0.12411381950081171</v>
      </c>
      <c r="IH120" s="45">
        <v>73</v>
      </c>
      <c r="II120" s="41">
        <v>0.19521277969132317</v>
      </c>
      <c r="IJ120" s="41">
        <v>8.7894841846502675E-2</v>
      </c>
      <c r="IK120" s="41">
        <v>0.12366748779477615</v>
      </c>
      <c r="JB120" s="45">
        <v>73</v>
      </c>
      <c r="JC120" s="41">
        <v>0.23602885326969228</v>
      </c>
      <c r="JD120" s="41">
        <v>0.13168498811876531</v>
      </c>
      <c r="JE120" s="41">
        <v>0.16646627650240764</v>
      </c>
      <c r="JV120">
        <v>73</v>
      </c>
      <c r="JW120" s="41">
        <v>0.22999885326969227</v>
      </c>
      <c r="JX120" s="41">
        <v>0.1256549881187653</v>
      </c>
      <c r="JY120" s="41">
        <v>0.16043627650240766</v>
      </c>
    </row>
    <row r="121" spans="131:285" ht="16">
      <c r="EA121">
        <v>0.22559000000000001</v>
      </c>
      <c r="GB121">
        <v>76</v>
      </c>
      <c r="GC121" s="41">
        <v>0.10395023643005363</v>
      </c>
      <c r="GD121" s="41">
        <v>6.9730326601786879E-2</v>
      </c>
      <c r="GE121" s="41">
        <v>0.11687023643005363</v>
      </c>
      <c r="GF121" s="41">
        <v>8.265032660178688E-2</v>
      </c>
      <c r="GJ121"/>
      <c r="GT121" s="41">
        <v>74</v>
      </c>
      <c r="GU121" s="41">
        <v>0.17982982433054046</v>
      </c>
      <c r="GV121" s="41">
        <v>0.15231262022652453</v>
      </c>
      <c r="GW121" s="41">
        <v>0.16148502159452982</v>
      </c>
      <c r="GX121" s="41">
        <f t="shared" si="73"/>
        <v>0.23509909233054044</v>
      </c>
      <c r="GY121" s="41">
        <f t="shared" si="73"/>
        <v>0.20758188822652451</v>
      </c>
      <c r="HN121" s="45">
        <v>74</v>
      </c>
      <c r="HO121" s="41">
        <v>0.18611537869965175</v>
      </c>
      <c r="HP121" s="41">
        <v>9.3113039901391637E-2</v>
      </c>
      <c r="HQ121" s="41">
        <v>0.12411381950081171</v>
      </c>
      <c r="IH121" s="45">
        <v>74</v>
      </c>
      <c r="II121" s="41">
        <v>0.19521277969132317</v>
      </c>
      <c r="IJ121" s="41">
        <v>8.7894841846502675E-2</v>
      </c>
      <c r="IK121" s="41">
        <v>0.12366748779477615</v>
      </c>
      <c r="JB121" s="45">
        <v>74</v>
      </c>
      <c r="JC121" s="41">
        <v>0.23602885326969228</v>
      </c>
      <c r="JD121" s="41">
        <v>0.13168498811876531</v>
      </c>
      <c r="JE121" s="41">
        <v>0.16646627650240764</v>
      </c>
      <c r="JV121">
        <v>74</v>
      </c>
      <c r="JW121" s="41">
        <v>0.22999885326969227</v>
      </c>
      <c r="JX121" s="41">
        <v>0.1256549881187653</v>
      </c>
      <c r="JY121" s="41">
        <v>0.16043627650240766</v>
      </c>
    </row>
    <row r="122" spans="131:285" ht="16">
      <c r="EA122">
        <v>0.22559000000000001</v>
      </c>
      <c r="GB122">
        <v>77</v>
      </c>
      <c r="GC122" s="41">
        <v>0.10395023643005363</v>
      </c>
      <c r="GD122" s="41">
        <v>6.9730326601786879E-2</v>
      </c>
      <c r="GE122" s="41">
        <v>0.11687023643005363</v>
      </c>
      <c r="GF122" s="41">
        <v>8.265032660178688E-2</v>
      </c>
      <c r="GJ122"/>
      <c r="GT122" s="41">
        <v>75</v>
      </c>
      <c r="GU122" s="41">
        <v>0.17982982433054046</v>
      </c>
      <c r="GV122" s="41">
        <v>0.15231262022652453</v>
      </c>
      <c r="GW122" s="41">
        <v>0.16148502159452982</v>
      </c>
      <c r="GX122" s="41">
        <f t="shared" si="73"/>
        <v>0.23509909233054044</v>
      </c>
      <c r="GY122" s="41">
        <f t="shared" si="73"/>
        <v>0.20758188822652451</v>
      </c>
      <c r="HN122" s="45">
        <v>75</v>
      </c>
      <c r="HO122" s="41">
        <v>0.18611537869965175</v>
      </c>
      <c r="HP122" s="41">
        <v>9.3113039901391637E-2</v>
      </c>
      <c r="HQ122" s="41">
        <v>0.12411381950081171</v>
      </c>
      <c r="IH122" s="45">
        <v>75</v>
      </c>
      <c r="II122" s="41">
        <v>0.19521277969132317</v>
      </c>
      <c r="IJ122" s="41">
        <v>8.7894841846502675E-2</v>
      </c>
      <c r="IK122" s="41">
        <v>0.12366748779477615</v>
      </c>
      <c r="JB122" s="45">
        <v>75</v>
      </c>
      <c r="JC122" s="41">
        <v>0.23602885326969228</v>
      </c>
      <c r="JD122" s="41">
        <v>0.13168498811876531</v>
      </c>
      <c r="JE122" s="41">
        <v>0.16646627650240764</v>
      </c>
      <c r="JV122">
        <v>75</v>
      </c>
      <c r="JW122" s="41">
        <v>0.22999885326969227</v>
      </c>
      <c r="JX122" s="41">
        <v>0.1256549881187653</v>
      </c>
      <c r="JY122" s="41">
        <v>0.16043627650240766</v>
      </c>
    </row>
    <row r="123" spans="131:285" ht="16">
      <c r="EA123">
        <v>0.22559000000000001</v>
      </c>
      <c r="GB123">
        <v>78</v>
      </c>
      <c r="GC123" s="41">
        <v>0.10395023643005363</v>
      </c>
      <c r="GD123" s="41">
        <v>6.9730326601786879E-2</v>
      </c>
      <c r="GE123" s="41">
        <v>0.11687023643005363</v>
      </c>
      <c r="GF123" s="41">
        <v>8.265032660178688E-2</v>
      </c>
      <c r="GJ123"/>
      <c r="GT123" s="41">
        <v>76</v>
      </c>
      <c r="GU123" s="41">
        <v>0.16892455325964167</v>
      </c>
      <c r="GV123" s="41">
        <v>0.14694453229676463</v>
      </c>
      <c r="GW123" s="41">
        <v>0.15427120595105698</v>
      </c>
      <c r="GX123" s="41">
        <f t="shared" si="73"/>
        <v>0.22419382125964166</v>
      </c>
      <c r="GY123" s="41">
        <f t="shared" si="73"/>
        <v>0.20221380029676461</v>
      </c>
      <c r="HN123" s="45">
        <v>76</v>
      </c>
      <c r="HO123" s="41">
        <v>0.16636972430535948</v>
      </c>
      <c r="HP123" s="41">
        <v>8.7007477770474545E-2</v>
      </c>
      <c r="HQ123" s="41">
        <v>0.11346155994876954</v>
      </c>
      <c r="IH123" s="45">
        <v>76</v>
      </c>
      <c r="II123" s="41">
        <v>0.17133901157538114</v>
      </c>
      <c r="IJ123" s="41">
        <v>8.4253639294242913E-2</v>
      </c>
      <c r="IK123" s="41">
        <v>0.11328209672128897</v>
      </c>
      <c r="JB123" s="45">
        <v>76</v>
      </c>
      <c r="JC123" s="41">
        <v>0.21576304077263317</v>
      </c>
      <c r="JD123" s="41">
        <v>0.12767178995285738</v>
      </c>
      <c r="JE123" s="41">
        <v>0.15703554022611593</v>
      </c>
      <c r="JV123">
        <v>76</v>
      </c>
      <c r="JW123" s="41">
        <v>0.20973304077263316</v>
      </c>
      <c r="JX123" s="41">
        <v>0.12164178995285738</v>
      </c>
      <c r="JY123" s="41">
        <v>0.15100554022611595</v>
      </c>
    </row>
    <row r="124" spans="131:285" ht="16">
      <c r="EA124">
        <v>0.22559000000000001</v>
      </c>
      <c r="GB124">
        <v>79</v>
      </c>
      <c r="GC124" s="41">
        <v>0.10395023643005363</v>
      </c>
      <c r="GD124" s="41">
        <v>6.9730326601786879E-2</v>
      </c>
      <c r="GE124" s="41">
        <v>0.11687023643005363</v>
      </c>
      <c r="GF124" s="41">
        <v>8.265032660178688E-2</v>
      </c>
      <c r="GJ124"/>
      <c r="GT124" s="41">
        <v>77</v>
      </c>
      <c r="GU124" s="41">
        <v>0.16892455325964167</v>
      </c>
      <c r="GV124" s="41">
        <v>0.14694453229676463</v>
      </c>
      <c r="GW124" s="41">
        <v>0.15427120595105698</v>
      </c>
      <c r="GX124" s="41">
        <f t="shared" si="73"/>
        <v>0.22419382125964166</v>
      </c>
      <c r="GY124" s="41">
        <f t="shared" si="73"/>
        <v>0.20221380029676461</v>
      </c>
      <c r="HN124" s="45">
        <v>77</v>
      </c>
      <c r="HO124" s="41">
        <v>0.16636972430535948</v>
      </c>
      <c r="HP124" s="41">
        <v>8.7007477770474545E-2</v>
      </c>
      <c r="HQ124" s="41">
        <v>0.11346155994876954</v>
      </c>
      <c r="IH124" s="45">
        <v>77</v>
      </c>
      <c r="II124" s="41">
        <v>0.17133901157538114</v>
      </c>
      <c r="IJ124" s="41">
        <v>8.4253639294242913E-2</v>
      </c>
      <c r="IK124" s="41">
        <v>0.11328209672128897</v>
      </c>
      <c r="JB124" s="45">
        <v>77</v>
      </c>
      <c r="JC124" s="41">
        <v>0.21576304077263317</v>
      </c>
      <c r="JD124" s="41">
        <v>0.12767178995285738</v>
      </c>
      <c r="JE124" s="41">
        <v>0.15703554022611593</v>
      </c>
      <c r="JV124">
        <v>77</v>
      </c>
      <c r="JW124" s="41">
        <v>0.20973304077263316</v>
      </c>
      <c r="JX124" s="41">
        <v>0.12164178995285738</v>
      </c>
      <c r="JY124" s="41">
        <v>0.15100554022611595</v>
      </c>
    </row>
    <row r="125" spans="131:285" ht="16">
      <c r="EA125">
        <v>0.22559000000000001</v>
      </c>
      <c r="GB125">
        <v>80</v>
      </c>
      <c r="GC125" s="41">
        <v>9.5374145137116492E-2</v>
      </c>
      <c r="GD125" s="41">
        <v>6.6164307225785812E-2</v>
      </c>
      <c r="GE125" s="41">
        <v>0.10829414513711649</v>
      </c>
      <c r="GF125" s="41">
        <v>7.9084307225785813E-2</v>
      </c>
      <c r="GJ125"/>
      <c r="GT125" s="41">
        <v>78</v>
      </c>
      <c r="GU125" s="41">
        <v>0.16892455325964167</v>
      </c>
      <c r="GV125" s="41">
        <v>0.14694453229676463</v>
      </c>
      <c r="GW125" s="41">
        <v>0.15427120595105698</v>
      </c>
      <c r="GX125" s="41">
        <f t="shared" si="73"/>
        <v>0.22419382125964166</v>
      </c>
      <c r="GY125" s="41">
        <f t="shared" si="73"/>
        <v>0.20221380029676461</v>
      </c>
      <c r="HN125" s="45">
        <v>78</v>
      </c>
      <c r="HO125" s="41">
        <v>0.16636972430535948</v>
      </c>
      <c r="HP125" s="41">
        <v>8.7007477770474545E-2</v>
      </c>
      <c r="HQ125" s="41">
        <v>0.11346155994876954</v>
      </c>
      <c r="IH125" s="45">
        <v>78</v>
      </c>
      <c r="II125" s="41">
        <v>0.17133901157538114</v>
      </c>
      <c r="IJ125" s="41">
        <v>8.4253639294242913E-2</v>
      </c>
      <c r="IK125" s="41">
        <v>0.11328209672128897</v>
      </c>
      <c r="JB125" s="45">
        <v>78</v>
      </c>
      <c r="JC125" s="41">
        <v>0.21576304077263317</v>
      </c>
      <c r="JD125" s="41">
        <v>0.12767178995285738</v>
      </c>
      <c r="JE125" s="41">
        <v>0.15703554022611593</v>
      </c>
      <c r="JV125">
        <v>78</v>
      </c>
      <c r="JW125" s="41">
        <v>0.20973304077263316</v>
      </c>
      <c r="JX125" s="41">
        <v>0.12164178995285738</v>
      </c>
      <c r="JY125" s="41">
        <v>0.15100554022611595</v>
      </c>
    </row>
    <row r="126" spans="131:285" ht="16">
      <c r="EA126">
        <v>0.22559000000000001</v>
      </c>
      <c r="GB126">
        <v>81</v>
      </c>
      <c r="GC126" s="41">
        <v>9.5374145137116492E-2</v>
      </c>
      <c r="GD126" s="41">
        <v>6.6164307225785812E-2</v>
      </c>
      <c r="GE126" s="41">
        <v>0.10829414513711649</v>
      </c>
      <c r="GF126" s="41">
        <v>7.9084307225785813E-2</v>
      </c>
      <c r="GJ126"/>
      <c r="GT126" s="41">
        <v>79</v>
      </c>
      <c r="GU126" s="41">
        <v>0.16892455325964167</v>
      </c>
      <c r="GV126" s="41">
        <v>0.14694453229676463</v>
      </c>
      <c r="GW126" s="41">
        <v>0.15427120595105698</v>
      </c>
      <c r="GX126" s="41">
        <f t="shared" si="73"/>
        <v>0.22419382125964166</v>
      </c>
      <c r="GY126" s="41">
        <f t="shared" si="73"/>
        <v>0.20221380029676461</v>
      </c>
      <c r="HN126" s="45">
        <v>79</v>
      </c>
      <c r="HO126" s="41">
        <v>0.16636972430535948</v>
      </c>
      <c r="HP126" s="41">
        <v>8.7007477770474545E-2</v>
      </c>
      <c r="HQ126" s="41">
        <v>0.11346155994876954</v>
      </c>
      <c r="IH126" s="45">
        <v>79</v>
      </c>
      <c r="II126" s="41">
        <v>0.17133901157538114</v>
      </c>
      <c r="IJ126" s="41">
        <v>8.4253639294242913E-2</v>
      </c>
      <c r="IK126" s="41">
        <v>0.11328209672128897</v>
      </c>
      <c r="JB126" s="45">
        <v>79</v>
      </c>
      <c r="JC126" s="41">
        <v>0.21576304077263317</v>
      </c>
      <c r="JD126" s="41">
        <v>0.12767178995285738</v>
      </c>
      <c r="JE126" s="41">
        <v>0.15703554022611593</v>
      </c>
      <c r="JV126">
        <v>79</v>
      </c>
      <c r="JW126" s="41">
        <v>0.20973304077263316</v>
      </c>
      <c r="JX126" s="41">
        <v>0.12164178995285738</v>
      </c>
      <c r="JY126" s="41">
        <v>0.15100554022611595</v>
      </c>
    </row>
    <row r="127" spans="131:285" ht="16">
      <c r="EA127">
        <v>0.22559000000000001</v>
      </c>
      <c r="GB127">
        <v>82</v>
      </c>
      <c r="GC127" s="41">
        <v>9.5374145137116492E-2</v>
      </c>
      <c r="GD127" s="41">
        <v>6.6164307225785812E-2</v>
      </c>
      <c r="GE127" s="41">
        <v>0.10829414513711649</v>
      </c>
      <c r="GF127" s="41">
        <v>7.9084307225785813E-2</v>
      </c>
      <c r="GJ127"/>
      <c r="GT127" s="41">
        <v>80</v>
      </c>
      <c r="GU127" s="41">
        <v>0.15647602270350669</v>
      </c>
      <c r="GV127" s="41">
        <v>0.13908576152528335</v>
      </c>
      <c r="GW127" s="41">
        <v>0.14488251525135779</v>
      </c>
      <c r="GX127" s="41">
        <f t="shared" si="73"/>
        <v>0.21174529070350667</v>
      </c>
      <c r="GY127" s="41">
        <f t="shared" si="73"/>
        <v>0.19435502952528333</v>
      </c>
      <c r="HN127" s="45">
        <v>80</v>
      </c>
      <c r="HO127" s="41">
        <v>0.14649405576533972</v>
      </c>
      <c r="HP127" s="41">
        <v>8.7578716392868919E-2</v>
      </c>
      <c r="HQ127" s="41">
        <v>0.10721716285035919</v>
      </c>
      <c r="IH127" s="45">
        <v>80</v>
      </c>
      <c r="II127" s="41">
        <v>0.14591309577922076</v>
      </c>
      <c r="IJ127" s="41">
        <v>8.3500613454027858E-2</v>
      </c>
      <c r="IK127" s="41">
        <v>0.10430477422909215</v>
      </c>
      <c r="JB127" s="45">
        <v>80</v>
      </c>
      <c r="JC127" s="41">
        <v>0.19141547635222569</v>
      </c>
      <c r="JD127" s="41">
        <v>0.13031554395615705</v>
      </c>
      <c r="JE127" s="41">
        <v>0.15068218808817993</v>
      </c>
      <c r="JV127">
        <v>80</v>
      </c>
      <c r="JW127" s="41">
        <v>0.18538547635222569</v>
      </c>
      <c r="JX127" s="41">
        <v>0.12428554395615705</v>
      </c>
      <c r="JY127" s="41">
        <v>0.14465218808817992</v>
      </c>
    </row>
    <row r="128" spans="131:285" ht="16">
      <c r="EA128">
        <v>0.16511999999999999</v>
      </c>
      <c r="GB128">
        <v>83</v>
      </c>
      <c r="GC128" s="41">
        <v>9.5374145137116492E-2</v>
      </c>
      <c r="GD128" s="41">
        <v>6.6164307225785812E-2</v>
      </c>
      <c r="GE128" s="41">
        <v>0.10829414513711649</v>
      </c>
      <c r="GF128" s="41">
        <v>7.9084307225785813E-2</v>
      </c>
      <c r="GJ128"/>
      <c r="GT128" s="41">
        <v>81</v>
      </c>
      <c r="GU128" s="41">
        <v>0.15647602270350669</v>
      </c>
      <c r="GV128" s="41">
        <v>0.13908576152528335</v>
      </c>
      <c r="GW128" s="41">
        <v>0.14488251525135779</v>
      </c>
      <c r="GX128" s="41">
        <f t="shared" si="73"/>
        <v>0.21174529070350667</v>
      </c>
      <c r="GY128" s="41">
        <f t="shared" si="73"/>
        <v>0.19435502952528333</v>
      </c>
      <c r="HN128" s="45">
        <v>81</v>
      </c>
      <c r="HO128" s="41">
        <v>0.14649405576533972</v>
      </c>
      <c r="HP128" s="41">
        <v>8.7578716392868919E-2</v>
      </c>
      <c r="HQ128" s="41">
        <v>0.10721716285035919</v>
      </c>
      <c r="IH128" s="45">
        <v>81</v>
      </c>
      <c r="II128" s="41">
        <v>0.14591309577922076</v>
      </c>
      <c r="IJ128" s="41">
        <v>8.3500613454027858E-2</v>
      </c>
      <c r="IK128" s="41">
        <v>0.10430477422909215</v>
      </c>
      <c r="JB128" s="45">
        <v>81</v>
      </c>
      <c r="JC128" s="41">
        <v>0.19141547635222569</v>
      </c>
      <c r="JD128" s="41">
        <v>0.13031554395615705</v>
      </c>
      <c r="JE128" s="41">
        <v>0.15068218808817993</v>
      </c>
      <c r="JV128">
        <v>81</v>
      </c>
      <c r="JW128" s="41">
        <v>0.18538547635222569</v>
      </c>
      <c r="JX128" s="41">
        <v>0.12428554395615705</v>
      </c>
      <c r="JY128" s="41">
        <v>0.14465218808817992</v>
      </c>
    </row>
    <row r="129" spans="131:285" ht="16">
      <c r="EA129">
        <v>0.16511999999999999</v>
      </c>
      <c r="GB129">
        <v>84</v>
      </c>
      <c r="GC129" s="41">
        <v>9.0092245832745152E-2</v>
      </c>
      <c r="GD129" s="41">
        <v>6.2311525616250245E-2</v>
      </c>
      <c r="GE129" s="41">
        <v>0.10301224583274515</v>
      </c>
      <c r="GF129" s="41">
        <v>7.5231525616250239E-2</v>
      </c>
      <c r="GJ129"/>
      <c r="GT129" s="41">
        <v>82</v>
      </c>
      <c r="GU129" s="41">
        <v>0.15647602270350669</v>
      </c>
      <c r="GV129" s="41">
        <v>0.13908576152528335</v>
      </c>
      <c r="GW129" s="41">
        <v>0.14488251525135779</v>
      </c>
      <c r="GX129" s="41">
        <f t="shared" si="73"/>
        <v>0.21174529070350667</v>
      </c>
      <c r="GY129" s="41">
        <f t="shared" si="73"/>
        <v>0.19435502952528333</v>
      </c>
      <c r="HN129" s="45">
        <v>82</v>
      </c>
      <c r="HO129" s="41">
        <v>0.14649405576533972</v>
      </c>
      <c r="HP129" s="41">
        <v>8.7578716392868919E-2</v>
      </c>
      <c r="HQ129" s="41">
        <v>0.10721716285035919</v>
      </c>
      <c r="IH129" s="45">
        <v>82</v>
      </c>
      <c r="II129" s="41">
        <v>0.14591309577922076</v>
      </c>
      <c r="IJ129" s="41">
        <v>8.3500613454027858E-2</v>
      </c>
      <c r="IK129" s="41">
        <v>0.10430477422909215</v>
      </c>
      <c r="JB129" s="45">
        <v>82</v>
      </c>
      <c r="JC129" s="41">
        <v>0.19141547635222569</v>
      </c>
      <c r="JD129" s="41">
        <v>0.13031554395615705</v>
      </c>
      <c r="JE129" s="41">
        <v>0.15068218808817993</v>
      </c>
      <c r="JV129">
        <v>82</v>
      </c>
      <c r="JW129" s="41">
        <v>0.18538547635222569</v>
      </c>
      <c r="JX129" s="41">
        <v>0.12428554395615705</v>
      </c>
      <c r="JY129" s="41">
        <v>0.14465218808817992</v>
      </c>
    </row>
    <row r="130" spans="131:285" ht="16">
      <c r="EA130">
        <v>0.16511999999999999</v>
      </c>
      <c r="GB130">
        <v>85</v>
      </c>
      <c r="GC130" s="41">
        <v>9.0092245832745152E-2</v>
      </c>
      <c r="GD130" s="41">
        <v>6.2311525616250245E-2</v>
      </c>
      <c r="GE130" s="41">
        <v>0.10301224583274515</v>
      </c>
      <c r="GF130" s="41">
        <v>7.5231525616250239E-2</v>
      </c>
      <c r="GJ130"/>
      <c r="GT130" s="41">
        <v>83</v>
      </c>
      <c r="GU130" s="41">
        <v>0.15647602270350669</v>
      </c>
      <c r="GV130" s="41">
        <v>0.13908576152528335</v>
      </c>
      <c r="GW130" s="41">
        <v>0.14488251525135779</v>
      </c>
      <c r="GX130" s="41">
        <f t="shared" si="73"/>
        <v>0.21174529070350667</v>
      </c>
      <c r="GY130" s="41">
        <f t="shared" si="73"/>
        <v>0.19435502952528333</v>
      </c>
      <c r="HN130" s="45">
        <v>83</v>
      </c>
      <c r="HO130" s="41">
        <v>0.14649405576533972</v>
      </c>
      <c r="HP130" s="41">
        <v>8.7578716392868919E-2</v>
      </c>
      <c r="HQ130" s="41">
        <v>0.10721716285035919</v>
      </c>
      <c r="IH130" s="45">
        <v>83</v>
      </c>
      <c r="II130" s="41">
        <v>0.14591309577922076</v>
      </c>
      <c r="IJ130" s="41">
        <v>8.3500613454027858E-2</v>
      </c>
      <c r="IK130" s="41">
        <v>0.10430477422909215</v>
      </c>
      <c r="JB130" s="45">
        <v>83</v>
      </c>
      <c r="JC130" s="41">
        <v>0.19141547635222569</v>
      </c>
      <c r="JD130" s="41">
        <v>0.13031554395615705</v>
      </c>
      <c r="JE130" s="41">
        <v>0.15068218808817993</v>
      </c>
      <c r="JV130">
        <v>83</v>
      </c>
      <c r="JW130" s="41">
        <v>0.18538547635222569</v>
      </c>
      <c r="JX130" s="41">
        <v>0.12428554395615705</v>
      </c>
      <c r="JY130" s="41">
        <v>0.14465218808817992</v>
      </c>
    </row>
    <row r="131" spans="131:285" ht="16">
      <c r="EA131">
        <v>0.16511999999999999</v>
      </c>
      <c r="GB131">
        <v>86</v>
      </c>
      <c r="GC131" s="41">
        <v>9.0092245832745152E-2</v>
      </c>
      <c r="GD131" s="41">
        <v>6.2311525616250245E-2</v>
      </c>
      <c r="GE131" s="41">
        <v>0.10301224583274515</v>
      </c>
      <c r="GF131" s="41">
        <v>7.5231525616250239E-2</v>
      </c>
      <c r="GJ131"/>
      <c r="GT131" s="41">
        <v>84</v>
      </c>
      <c r="GU131" s="41">
        <v>0.14945803156585774</v>
      </c>
      <c r="GV131" s="41">
        <v>0.13051199836470845</v>
      </c>
      <c r="GW131" s="41">
        <v>0.13682734276509156</v>
      </c>
      <c r="GX131" s="41">
        <f t="shared" si="73"/>
        <v>0.20472729956585772</v>
      </c>
      <c r="GY131" s="41">
        <f t="shared" si="73"/>
        <v>0.18578126636470843</v>
      </c>
      <c r="HN131" s="45">
        <v>84</v>
      </c>
      <c r="HO131" s="41">
        <v>0.10402175734930831</v>
      </c>
      <c r="HP131" s="41">
        <v>7.0750689196163882E-2</v>
      </c>
      <c r="HQ131" s="41">
        <v>8.1841045247212002E-2</v>
      </c>
      <c r="IH131" s="45">
        <v>84</v>
      </c>
      <c r="II131" s="41">
        <v>0.10177052000694053</v>
      </c>
      <c r="IJ131" s="41">
        <v>6.501351350461132E-2</v>
      </c>
      <c r="IK131" s="41">
        <v>7.7265849005387729E-2</v>
      </c>
      <c r="JB131" s="45">
        <v>84</v>
      </c>
      <c r="JC131" s="41">
        <v>0.14410547942546584</v>
      </c>
      <c r="JD131" s="41">
        <v>0.10998101659182075</v>
      </c>
      <c r="JE131" s="41">
        <v>0.12135583753636914</v>
      </c>
      <c r="JV131">
        <v>84</v>
      </c>
      <c r="JW131" s="41">
        <v>0.13807547942546583</v>
      </c>
      <c r="JX131" s="41">
        <v>0.10395101659182075</v>
      </c>
      <c r="JY131" s="41">
        <v>0.11532583753636914</v>
      </c>
    </row>
    <row r="132" spans="131:285" ht="16">
      <c r="GB132">
        <v>87</v>
      </c>
      <c r="GC132" s="41">
        <v>9.0092245832745152E-2</v>
      </c>
      <c r="GD132" s="41">
        <v>6.2311525616250245E-2</v>
      </c>
      <c r="GE132" s="41">
        <v>0.10301224583274515</v>
      </c>
      <c r="GF132" s="41">
        <v>7.5231525616250239E-2</v>
      </c>
      <c r="GJ132"/>
      <c r="GT132" s="41">
        <v>85</v>
      </c>
      <c r="GU132" s="41">
        <v>0.14945803156585774</v>
      </c>
      <c r="GV132" s="41">
        <v>0.13051199836470845</v>
      </c>
      <c r="GW132" s="41">
        <v>0.13682734276509156</v>
      </c>
      <c r="GX132" s="41">
        <f t="shared" si="73"/>
        <v>0.20472729956585772</v>
      </c>
      <c r="GY132" s="41">
        <f t="shared" si="73"/>
        <v>0.18578126636470843</v>
      </c>
      <c r="HN132" s="45">
        <v>85</v>
      </c>
      <c r="HO132" s="41">
        <v>0.10402175734930831</v>
      </c>
      <c r="HP132" s="41">
        <v>7.0750689196163882E-2</v>
      </c>
      <c r="HQ132" s="41">
        <v>8.1841045247212002E-2</v>
      </c>
      <c r="IH132" s="45">
        <v>85</v>
      </c>
      <c r="II132" s="41">
        <v>0.10177052000694053</v>
      </c>
      <c r="IJ132" s="41">
        <v>6.501351350461132E-2</v>
      </c>
      <c r="IK132" s="41">
        <v>7.7265849005387729E-2</v>
      </c>
      <c r="JB132" s="45">
        <v>85</v>
      </c>
      <c r="JC132" s="41">
        <v>0.14410547942546584</v>
      </c>
      <c r="JD132" s="41">
        <v>0.10998101659182075</v>
      </c>
      <c r="JE132" s="41">
        <v>0.12135583753636914</v>
      </c>
      <c r="JV132">
        <v>85</v>
      </c>
      <c r="JW132" s="41">
        <v>0.13807547942546583</v>
      </c>
      <c r="JX132" s="41">
        <v>0.10395101659182075</v>
      </c>
      <c r="JY132" s="41">
        <v>0.11532583753636914</v>
      </c>
    </row>
    <row r="133" spans="131:285" ht="16">
      <c r="GB133">
        <v>88</v>
      </c>
      <c r="GC133" s="41">
        <v>8.5210735070769816E-2</v>
      </c>
      <c r="GD133" s="41">
        <v>5.9888168150371728E-2</v>
      </c>
      <c r="GE133" s="41">
        <v>9.8130735070769817E-2</v>
      </c>
      <c r="GF133" s="41">
        <v>7.2808168150371722E-2</v>
      </c>
      <c r="GJ133"/>
      <c r="GT133" s="41">
        <v>86</v>
      </c>
      <c r="GU133" s="41">
        <v>0.14945803156585774</v>
      </c>
      <c r="GV133" s="41">
        <v>0.13051199836470845</v>
      </c>
      <c r="GW133" s="41">
        <v>0.13682734276509156</v>
      </c>
      <c r="GX133" s="41">
        <f t="shared" si="73"/>
        <v>0.20472729956585772</v>
      </c>
      <c r="GY133" s="41">
        <f t="shared" si="73"/>
        <v>0.18578126636470843</v>
      </c>
      <c r="HN133" s="45">
        <v>86</v>
      </c>
      <c r="HO133" s="41">
        <v>0.10402175734930831</v>
      </c>
      <c r="HP133" s="41">
        <v>7.0750689196163882E-2</v>
      </c>
      <c r="HQ133" s="41">
        <v>8.1841045247212002E-2</v>
      </c>
      <c r="IH133" s="45">
        <v>86</v>
      </c>
      <c r="II133" s="41">
        <v>0.10177052000694053</v>
      </c>
      <c r="IJ133" s="41">
        <v>6.501351350461132E-2</v>
      </c>
      <c r="IK133" s="41">
        <v>7.7265849005387729E-2</v>
      </c>
      <c r="JB133" s="45">
        <v>86</v>
      </c>
      <c r="JC133" s="41">
        <v>0.14410547942546584</v>
      </c>
      <c r="JD133" s="41">
        <v>0.10998101659182075</v>
      </c>
      <c r="JE133" s="41">
        <v>0.12135583753636914</v>
      </c>
      <c r="JV133">
        <v>86</v>
      </c>
      <c r="JW133" s="41">
        <v>0.13807547942546583</v>
      </c>
      <c r="JX133" s="41">
        <v>0.10395101659182075</v>
      </c>
      <c r="JY133" s="41">
        <v>0.11532583753636914</v>
      </c>
    </row>
    <row r="134" spans="131:285" ht="16">
      <c r="GB134">
        <v>89</v>
      </c>
      <c r="GC134" s="41">
        <v>8.5210735070769816E-2</v>
      </c>
      <c r="GD134" s="41">
        <v>5.9888168150371728E-2</v>
      </c>
      <c r="GE134" s="41">
        <v>9.8130735070769817E-2</v>
      </c>
      <c r="GF134" s="41">
        <v>7.2808168150371722E-2</v>
      </c>
      <c r="GJ134"/>
      <c r="GT134" s="41">
        <v>87</v>
      </c>
      <c r="GU134" s="41">
        <v>0.14945803156585774</v>
      </c>
      <c r="GV134" s="41">
        <v>0.13051199836470845</v>
      </c>
      <c r="GW134" s="41">
        <v>0.13682734276509156</v>
      </c>
      <c r="GX134" s="41">
        <f t="shared" si="73"/>
        <v>0.20472729956585772</v>
      </c>
      <c r="GY134" s="41">
        <f t="shared" si="73"/>
        <v>0.18578126636470843</v>
      </c>
      <c r="HN134" s="45">
        <v>87</v>
      </c>
      <c r="HO134" s="41">
        <v>0.10402175734930831</v>
      </c>
      <c r="HP134" s="41">
        <v>7.0750689196163882E-2</v>
      </c>
      <c r="HQ134" s="41">
        <v>8.1841045247212002E-2</v>
      </c>
      <c r="IH134" s="45">
        <v>87</v>
      </c>
      <c r="II134" s="41">
        <v>0.10177052000694053</v>
      </c>
      <c r="IJ134" s="41">
        <v>6.501351350461132E-2</v>
      </c>
      <c r="IK134" s="41">
        <v>7.7265849005387729E-2</v>
      </c>
      <c r="JB134" s="45">
        <v>87</v>
      </c>
      <c r="JC134" s="41">
        <v>0.14410547942546584</v>
      </c>
      <c r="JD134" s="41">
        <v>0.10998101659182075</v>
      </c>
      <c r="JE134" s="41">
        <v>0.12135583753636914</v>
      </c>
      <c r="JV134">
        <v>87</v>
      </c>
      <c r="JW134" s="41">
        <v>0.13807547942546583</v>
      </c>
      <c r="JX134" s="41">
        <v>0.10395101659182075</v>
      </c>
      <c r="JY134" s="41">
        <v>0.11532583753636914</v>
      </c>
    </row>
    <row r="135" spans="131:285" ht="16">
      <c r="GB135">
        <v>90</v>
      </c>
      <c r="GC135" s="41">
        <v>8.5210735070769816E-2</v>
      </c>
      <c r="GD135" s="41">
        <v>5.9888168150371728E-2</v>
      </c>
      <c r="GE135" s="41">
        <v>9.8130735070769817E-2</v>
      </c>
      <c r="GF135" s="41">
        <v>7.2808168150371722E-2</v>
      </c>
      <c r="GJ135"/>
      <c r="GT135" s="41">
        <v>88</v>
      </c>
      <c r="GU135" s="41">
        <v>0.1417214690803435</v>
      </c>
      <c r="GV135" s="41">
        <v>0.12452858160898977</v>
      </c>
      <c r="GW135" s="41">
        <v>0.13025954409944102</v>
      </c>
      <c r="GX135" s="41">
        <f t="shared" si="73"/>
        <v>0.19699073708034348</v>
      </c>
      <c r="GY135" s="41">
        <f t="shared" si="73"/>
        <v>0.17979784960898976</v>
      </c>
      <c r="HN135" s="45">
        <v>88</v>
      </c>
      <c r="HO135" s="41">
        <v>9.5571121453274996E-2</v>
      </c>
      <c r="HP135" s="41">
        <v>6.2258189085880163E-2</v>
      </c>
      <c r="HQ135" s="41">
        <v>7.3362499875011769E-2</v>
      </c>
      <c r="IH135" s="45">
        <v>88</v>
      </c>
      <c r="II135" s="41">
        <v>9.314887763210522E-2</v>
      </c>
      <c r="IJ135" s="41">
        <v>5.8196532834409696E-2</v>
      </c>
      <c r="IK135" s="41">
        <v>6.9847314433641547E-2</v>
      </c>
      <c r="JB135" s="45">
        <v>88</v>
      </c>
      <c r="JC135" s="41">
        <v>0.13506939267480708</v>
      </c>
      <c r="JD135" s="41">
        <v>0.10038934576010493</v>
      </c>
      <c r="JE135" s="41">
        <v>0.11194936139833897</v>
      </c>
      <c r="JV135">
        <v>88</v>
      </c>
      <c r="JW135" s="41">
        <v>0.12903939267480707</v>
      </c>
      <c r="JX135" s="41">
        <v>9.4359345760104935E-2</v>
      </c>
      <c r="JY135" s="41">
        <v>0.10591936139833896</v>
      </c>
    </row>
    <row r="136" spans="131:285" ht="16">
      <c r="GB136">
        <v>91</v>
      </c>
      <c r="GC136" s="41">
        <v>8.5210735070769816E-2</v>
      </c>
      <c r="GD136" s="41">
        <v>5.9888168150371728E-2</v>
      </c>
      <c r="GE136" s="41">
        <v>9.8130735070769817E-2</v>
      </c>
      <c r="GF136" s="41">
        <v>7.2808168150371722E-2</v>
      </c>
      <c r="GJ136"/>
      <c r="GT136" s="41">
        <v>89</v>
      </c>
      <c r="GU136" s="41">
        <v>0.1417214690803435</v>
      </c>
      <c r="GV136" s="41">
        <v>0.12452858160898977</v>
      </c>
      <c r="GW136" s="41">
        <v>0.13025954409944102</v>
      </c>
      <c r="GX136" s="41">
        <f t="shared" si="73"/>
        <v>0.19699073708034348</v>
      </c>
      <c r="GY136" s="41">
        <f t="shared" si="73"/>
        <v>0.17979784960898976</v>
      </c>
      <c r="HN136" s="45">
        <v>89</v>
      </c>
      <c r="HO136" s="41">
        <v>9.5571121453274996E-2</v>
      </c>
      <c r="HP136" s="41">
        <v>6.2258189085880163E-2</v>
      </c>
      <c r="HQ136" s="41">
        <v>7.3362499875011769E-2</v>
      </c>
      <c r="IH136" s="45">
        <v>89</v>
      </c>
      <c r="II136" s="41">
        <v>9.314887763210522E-2</v>
      </c>
      <c r="IJ136" s="41">
        <v>5.8196532834409696E-2</v>
      </c>
      <c r="IK136" s="41">
        <v>6.9847314433641547E-2</v>
      </c>
      <c r="JB136" s="45">
        <v>89</v>
      </c>
      <c r="JC136" s="41">
        <v>0.13506939267480708</v>
      </c>
      <c r="JD136" s="41">
        <v>0.10038934576010493</v>
      </c>
      <c r="JE136" s="41">
        <v>0.11194936139833897</v>
      </c>
      <c r="JV136">
        <v>89</v>
      </c>
      <c r="JW136" s="41">
        <v>0.12903939267480707</v>
      </c>
      <c r="JX136" s="41">
        <v>9.4359345760104935E-2</v>
      </c>
      <c r="JY136" s="41">
        <v>0.10591936139833896</v>
      </c>
    </row>
    <row r="137" spans="131:285" ht="16">
      <c r="GB137">
        <v>92</v>
      </c>
      <c r="GC137" s="41">
        <v>7.9922610255623E-2</v>
      </c>
      <c r="GD137" s="41">
        <v>5.7859735510315508E-2</v>
      </c>
      <c r="GE137" s="41">
        <v>9.2842610255623001E-2</v>
      </c>
      <c r="GF137" s="41">
        <v>7.0779735510315508E-2</v>
      </c>
      <c r="GJ137"/>
      <c r="GT137" s="41">
        <v>90</v>
      </c>
      <c r="GU137" s="41">
        <v>0.1417214690803435</v>
      </c>
      <c r="GV137" s="41">
        <v>0.12452858160898977</v>
      </c>
      <c r="GW137" s="41">
        <v>0.13025954409944102</v>
      </c>
      <c r="GX137" s="41">
        <f t="shared" si="73"/>
        <v>0.19699073708034348</v>
      </c>
      <c r="GY137" s="41">
        <f t="shared" si="73"/>
        <v>0.17979784960898976</v>
      </c>
      <c r="HN137" s="45">
        <v>90</v>
      </c>
      <c r="HO137" s="41">
        <v>9.5571121453274996E-2</v>
      </c>
      <c r="HP137" s="41">
        <v>6.2258189085880163E-2</v>
      </c>
      <c r="HQ137" s="41">
        <v>7.3362499875011769E-2</v>
      </c>
      <c r="IH137" s="45">
        <v>90</v>
      </c>
      <c r="II137" s="41">
        <v>9.314887763210522E-2</v>
      </c>
      <c r="IJ137" s="41">
        <v>5.8196532834409696E-2</v>
      </c>
      <c r="IK137" s="41">
        <v>6.9847314433641547E-2</v>
      </c>
      <c r="JB137" s="45">
        <v>90</v>
      </c>
      <c r="JC137" s="41">
        <v>0.13506939267480708</v>
      </c>
      <c r="JD137" s="41">
        <v>0.10038934576010493</v>
      </c>
      <c r="JE137" s="41">
        <v>0.11194936139833897</v>
      </c>
      <c r="JV137">
        <v>90</v>
      </c>
      <c r="JW137" s="41">
        <v>0.12903939267480707</v>
      </c>
      <c r="JX137" s="41">
        <v>9.4359345760104935E-2</v>
      </c>
      <c r="JY137" s="41">
        <v>0.10591936139833896</v>
      </c>
    </row>
    <row r="138" spans="131:285" ht="16">
      <c r="GB138">
        <v>93</v>
      </c>
      <c r="GC138" s="41">
        <v>7.9922610255623E-2</v>
      </c>
      <c r="GD138" s="41">
        <v>5.7859735510315508E-2</v>
      </c>
      <c r="GE138" s="41">
        <v>9.2842610255623001E-2</v>
      </c>
      <c r="GF138" s="41">
        <v>7.0779735510315508E-2</v>
      </c>
      <c r="GJ138"/>
      <c r="GT138" s="41">
        <v>91</v>
      </c>
      <c r="GU138" s="41">
        <v>0.1417214690803435</v>
      </c>
      <c r="GV138" s="41">
        <v>0.12452858160898977</v>
      </c>
      <c r="GW138" s="41">
        <v>0.13025954409944102</v>
      </c>
      <c r="GX138" s="41">
        <f t="shared" si="73"/>
        <v>0.19699073708034348</v>
      </c>
      <c r="GY138" s="41">
        <f t="shared" si="73"/>
        <v>0.17979784960898976</v>
      </c>
      <c r="HN138" s="45">
        <v>91</v>
      </c>
      <c r="HO138" s="41">
        <v>9.5571121453274996E-2</v>
      </c>
      <c r="HP138" s="41">
        <v>6.2258189085880163E-2</v>
      </c>
      <c r="HQ138" s="41">
        <v>7.3362499875011769E-2</v>
      </c>
      <c r="IH138" s="45">
        <v>91</v>
      </c>
      <c r="II138" s="41">
        <v>9.314887763210522E-2</v>
      </c>
      <c r="IJ138" s="41">
        <v>5.8196532834409696E-2</v>
      </c>
      <c r="IK138" s="41">
        <v>6.9847314433641547E-2</v>
      </c>
      <c r="JB138" s="45">
        <v>91</v>
      </c>
      <c r="JC138" s="41">
        <v>0.13506939267480708</v>
      </c>
      <c r="JD138" s="41">
        <v>0.10038934576010493</v>
      </c>
      <c r="JE138" s="41">
        <v>0.11194936139833897</v>
      </c>
      <c r="JV138">
        <v>91</v>
      </c>
      <c r="JW138" s="41">
        <v>0.12903939267480707</v>
      </c>
      <c r="JX138" s="41">
        <v>9.4359345760104935E-2</v>
      </c>
      <c r="JY138" s="41">
        <v>0.10591936139833896</v>
      </c>
    </row>
    <row r="139" spans="131:285" ht="16">
      <c r="GB139">
        <v>94</v>
      </c>
      <c r="GC139" s="41">
        <v>7.9922610255623E-2</v>
      </c>
      <c r="GD139" s="41">
        <v>5.7859735510315508E-2</v>
      </c>
      <c r="GE139" s="41">
        <v>9.2842610255623001E-2</v>
      </c>
      <c r="GF139" s="41">
        <v>7.0779735510315508E-2</v>
      </c>
      <c r="GJ139"/>
      <c r="GT139" s="41">
        <v>92</v>
      </c>
      <c r="GU139" s="41">
        <v>0.13387858767186994</v>
      </c>
      <c r="GV139" s="41">
        <v>0.12045316793382575</v>
      </c>
      <c r="GW139" s="41">
        <v>0.12492830784650714</v>
      </c>
      <c r="GX139" s="41">
        <f t="shared" si="73"/>
        <v>0.18914785567186992</v>
      </c>
      <c r="GY139" s="41">
        <f t="shared" si="73"/>
        <v>0.17572243593382575</v>
      </c>
      <c r="HN139" s="45">
        <v>92</v>
      </c>
      <c r="HO139" s="41">
        <v>8.8212833777409211E-2</v>
      </c>
      <c r="HP139" s="41">
        <v>6.4009831754805416E-2</v>
      </c>
      <c r="HQ139" s="41">
        <v>7.2077499095673347E-2</v>
      </c>
      <c r="IH139" s="45">
        <v>92</v>
      </c>
      <c r="II139" s="41">
        <v>8.4703749232425185E-2</v>
      </c>
      <c r="IJ139" s="41">
        <v>6.0831967352337431E-2</v>
      </c>
      <c r="IK139" s="41">
        <v>6.8789227979033363E-2</v>
      </c>
      <c r="JB139" s="45">
        <v>92</v>
      </c>
      <c r="JC139" s="41">
        <v>0.12610109211780068</v>
      </c>
      <c r="JD139" s="41">
        <v>0.10114260522171442</v>
      </c>
      <c r="JE139" s="41">
        <v>0.10946210085374319</v>
      </c>
      <c r="JV139">
        <v>92</v>
      </c>
      <c r="JW139" s="41">
        <v>0.12007109211780069</v>
      </c>
      <c r="JX139" s="41">
        <v>9.5112605221714427E-2</v>
      </c>
      <c r="JY139" s="41">
        <v>0.10343210085374319</v>
      </c>
    </row>
    <row r="140" spans="131:285" ht="16">
      <c r="GB140">
        <v>95</v>
      </c>
      <c r="GC140" s="41">
        <v>7.9922610255623E-2</v>
      </c>
      <c r="GD140" s="41">
        <v>5.7859735510315508E-2</v>
      </c>
      <c r="GE140" s="41">
        <v>9.2842610255623001E-2</v>
      </c>
      <c r="GF140" s="41">
        <v>7.0779735510315508E-2</v>
      </c>
      <c r="GJ140"/>
      <c r="GT140" s="41">
        <v>93</v>
      </c>
      <c r="GU140" s="41">
        <v>0.13387858767186994</v>
      </c>
      <c r="GV140" s="41">
        <v>0.12045316793382575</v>
      </c>
      <c r="GW140" s="41">
        <v>0.12492830784650714</v>
      </c>
      <c r="GX140" s="41">
        <f t="shared" si="73"/>
        <v>0.18914785567186992</v>
      </c>
      <c r="GY140" s="41">
        <f t="shared" si="73"/>
        <v>0.17572243593382575</v>
      </c>
      <c r="HN140" s="45">
        <v>93</v>
      </c>
      <c r="HO140" s="41">
        <v>8.8212833777409211E-2</v>
      </c>
      <c r="HP140" s="41">
        <v>6.4009831754805416E-2</v>
      </c>
      <c r="HQ140" s="41">
        <v>7.2077499095673347E-2</v>
      </c>
      <c r="IH140" s="45">
        <v>93</v>
      </c>
      <c r="II140" s="41">
        <v>8.4703749232425185E-2</v>
      </c>
      <c r="IJ140" s="41">
        <v>6.0831967352337431E-2</v>
      </c>
      <c r="IK140" s="41">
        <v>6.8789227979033363E-2</v>
      </c>
      <c r="JB140" s="45">
        <v>93</v>
      </c>
      <c r="JC140" s="41">
        <v>0.12610109211780068</v>
      </c>
      <c r="JD140" s="41">
        <v>0.10114260522171442</v>
      </c>
      <c r="JE140" s="41">
        <v>0.10946210085374319</v>
      </c>
      <c r="JV140">
        <v>93</v>
      </c>
      <c r="JW140" s="41">
        <v>0.12007109211780069</v>
      </c>
      <c r="JX140" s="41">
        <v>9.5112605221714427E-2</v>
      </c>
      <c r="JY140" s="41">
        <v>0.10343210085374319</v>
      </c>
    </row>
    <row r="141" spans="131:285" ht="16">
      <c r="GJ141"/>
      <c r="GT141" s="41">
        <v>94</v>
      </c>
      <c r="GU141" s="41">
        <v>0.13387858767186994</v>
      </c>
      <c r="GV141" s="41">
        <v>0.12045316793382575</v>
      </c>
      <c r="GW141" s="41">
        <v>0.12492830784650714</v>
      </c>
      <c r="GX141" s="41">
        <f t="shared" si="73"/>
        <v>0.18914785567186992</v>
      </c>
      <c r="GY141" s="41">
        <f t="shared" si="73"/>
        <v>0.17572243593382575</v>
      </c>
      <c r="HN141" s="45">
        <v>94</v>
      </c>
      <c r="HO141" s="41">
        <v>8.8212833777409211E-2</v>
      </c>
      <c r="HP141" s="41">
        <v>6.4009831754805416E-2</v>
      </c>
      <c r="HQ141" s="41">
        <v>7.2077499095673347E-2</v>
      </c>
      <c r="IH141" s="45">
        <v>94</v>
      </c>
      <c r="II141" s="41">
        <v>8.4703749232425185E-2</v>
      </c>
      <c r="IJ141" s="41">
        <v>6.0831967352337431E-2</v>
      </c>
      <c r="IK141" s="41">
        <v>6.8789227979033363E-2</v>
      </c>
      <c r="JB141" s="45">
        <v>94</v>
      </c>
      <c r="JC141" s="41">
        <v>0.12610109211780068</v>
      </c>
      <c r="JD141" s="41">
        <v>0.10114260522171442</v>
      </c>
      <c r="JE141" s="41">
        <v>0.10946210085374319</v>
      </c>
      <c r="JV141">
        <v>94</v>
      </c>
      <c r="JW141" s="41">
        <v>0.12007109211780069</v>
      </c>
      <c r="JX141" s="41">
        <v>9.5112605221714427E-2</v>
      </c>
      <c r="JY141" s="41">
        <v>0.10343210085374319</v>
      </c>
    </row>
    <row r="142" spans="131:285" ht="16">
      <c r="GJ142"/>
      <c r="GT142" s="41">
        <v>95</v>
      </c>
      <c r="GU142" s="41">
        <v>0.13387858767186994</v>
      </c>
      <c r="GV142" s="41">
        <v>0.12045316793382575</v>
      </c>
      <c r="GW142" s="41">
        <v>0.12492830784650714</v>
      </c>
      <c r="GX142" s="41">
        <f t="shared" si="73"/>
        <v>0.18914785567186992</v>
      </c>
      <c r="GY142" s="41">
        <f t="shared" si="73"/>
        <v>0.17572243593382575</v>
      </c>
      <c r="HN142" s="45">
        <v>95</v>
      </c>
      <c r="HO142" s="41">
        <v>8.8212833777409211E-2</v>
      </c>
      <c r="HP142" s="41">
        <v>6.4009831754805416E-2</v>
      </c>
      <c r="HQ142" s="41">
        <v>7.2077499095673347E-2</v>
      </c>
      <c r="IH142" s="45">
        <v>95</v>
      </c>
      <c r="II142" s="41">
        <v>8.4703749232425185E-2</v>
      </c>
      <c r="IJ142" s="41">
        <v>6.0831967352337431E-2</v>
      </c>
      <c r="IK142" s="41">
        <v>6.8789227979033363E-2</v>
      </c>
      <c r="JB142" s="45">
        <v>95</v>
      </c>
      <c r="JC142" s="41">
        <v>0.12610109211780068</v>
      </c>
      <c r="JD142" s="41">
        <v>0.10114260522171442</v>
      </c>
      <c r="JE142" s="41">
        <v>0.10946210085374319</v>
      </c>
      <c r="JV142">
        <v>95</v>
      </c>
      <c r="JW142" s="41">
        <v>0.12007109211780069</v>
      </c>
      <c r="JX142" s="41">
        <v>9.5112605221714427E-2</v>
      </c>
      <c r="JY142" s="41">
        <v>0.10343210085374319</v>
      </c>
    </row>
    <row r="143" spans="131:285" ht="16">
      <c r="GJ143"/>
    </row>
    <row r="144" spans="131:285" ht="16">
      <c r="GJ144"/>
    </row>
  </sheetData>
  <phoneticPr fontId="39" type="noConversion"/>
  <hyperlinks>
    <hyperlink ref="B9" r:id="rId1" xr:uid="{00000000-0004-0000-0100-000002000000}"/>
    <hyperlink ref="F9" r:id="rId2" xr:uid="{00000000-0004-0000-0100-000003000000}"/>
    <hyperlink ref="J9" r:id="rId3" xr:uid="{00000000-0004-0000-0100-000004000000}"/>
    <hyperlink ref="CG9" r:id="rId4" xr:uid="{00000000-0004-0000-0100-000005000000}"/>
    <hyperlink ref="CK9" r:id="rId5" display="https://edisonintl.sharepoint.com/teams/Public/TM2/Shared Documents/Forms/AllItems.aspx?viewid=c9868ae1%2Df1cd%2D43b6%2Da712%2Dd734ff79e266&amp;ga=1&amp;id=%2Fteams%2FPublic%2FTM2%2FShared%20Documents%2FPublic%2FRegulatory%2FTariff%2DSCE%20Tariff%20Books%2FElectric%2FSchedules%2FGeneral%20Service%20%26%20Industrial%20Rates%2FELECTRIC%5FSCHEDULES%5FTOU%2DEV%2D8%2Epdf&amp;parent=%2Fteams%2FPublic%2FTM2%2FShared%20Documents%2FPublic%2FRegulatory%2FTariff%2DSCE%20Tariff%20Books%2FElectric%2FSchedules%2FGeneral%20Service%20%26%20Industrial%20Rates" xr:uid="{00000000-0004-0000-0100-000007000000}"/>
    <hyperlink ref="CT2" r:id="rId6" xr:uid="{00000000-0004-0000-0100-000008000000}"/>
    <hyperlink ref="CT9" r:id="rId7" xr:uid="{00000000-0004-0000-0100-000009000000}"/>
    <hyperlink ref="CY9" r:id="rId8" xr:uid="{00000000-0004-0000-0100-00000A000000}"/>
    <hyperlink ref="EO2" r:id="rId9" xr:uid="{00000000-0004-0000-0100-00000B000000}"/>
    <hyperlink ref="CG8" r:id="rId10" xr:uid="{6CAF564E-0780-F344-8E8B-3EC791812845}"/>
    <hyperlink ref="CO9" r:id="rId11" xr:uid="{020C10F3-7A30-B04E-9A07-99E2B3E0AE59}"/>
    <hyperlink ref="V9" r:id="rId12" xr:uid="{C7AE55B0-AD3D-B24B-828A-CC82EF2C0B3D}"/>
    <hyperlink ref="AA9" r:id="rId13" xr:uid="{4389D37C-CBEB-3E4D-A020-E6661F18EAC9}"/>
    <hyperlink ref="AE9" r:id="rId14" xr:uid="{6A280AEF-3C27-C542-9862-3DB934047AF1}"/>
    <hyperlink ref="AQ9" r:id="rId15" display="TOU-GS-2 Option E: Time-of-Use General Service Demand Metered" xr:uid="{E8F55EF0-E6A6-6449-93D7-D86F5F55BC1B}"/>
    <hyperlink ref="AV9" r:id="rId16" display="TOU-GS-2 Option D: Time-of-Use General Service Demand Metered" xr:uid="{E6F5C380-85F1-B847-86F1-FB1C49871690}"/>
    <hyperlink ref="AZ9" r:id="rId17" display="TOU-GS-2-RTP: General Service, Medium, Real-Time Pricing" xr:uid="{3DA085DA-407B-5349-AFCC-6BEB239B3CCE}"/>
    <hyperlink ref="BL9" r:id="rId18" display="TOU-8 Option E: Time-of-Use General Service  Large" xr:uid="{D4FD00E1-E2F7-C049-B286-B1BE70E657E3}"/>
    <hyperlink ref="BU9" r:id="rId19" xr:uid="{1551CF94-859D-CF41-A57B-AE6AA499A194}"/>
    <hyperlink ref="BQ9" r:id="rId20" xr:uid="{F09E265A-738F-A642-A1C1-86CC95266208}"/>
    <hyperlink ref="DD9" r:id="rId21" xr:uid="{769BC385-C708-3E47-A3FE-3043814DEED2}"/>
    <hyperlink ref="DH9" r:id="rId22" xr:uid="{CEB6100B-39E7-164B-9164-448D9242A741}"/>
    <hyperlink ref="DM9" r:id="rId23" xr:uid="{5720B7DE-D4FA-D74F-9BC0-4871E95FEEB9}"/>
    <hyperlink ref="DQ9" r:id="rId24" xr:uid="{FADD4DB3-D11E-C04B-9BD7-CB976032D015}"/>
    <hyperlink ref="DV9" r:id="rId25" xr:uid="{0D2E113E-07B8-A840-B2FD-9CDDAD485F8D}"/>
    <hyperlink ref="EF9" r:id="rId26" xr:uid="{3ED95121-1471-B246-A9F3-D0D4BC82244F}"/>
    <hyperlink ref="EA9" r:id="rId27" display="B-19: Medium General Demand-Metered TOU Service" xr:uid="{6913117D-8751-EC49-B24F-C6640F1D8801}"/>
    <hyperlink ref="EK9" r:id="rId28" display="B-20: Service to Customers with Maximum Demands of 1000 KiloWatts or More" xr:uid="{968EE243-2913-2743-A831-3C9700D4ACE3}"/>
    <hyperlink ref="FD9" r:id="rId29" xr:uid="{4B71E067-D661-DB45-83EC-B716438AB0A5}"/>
    <hyperlink ref="EO9" r:id="rId30" xr:uid="{3F993703-B655-134E-BAB4-CEF6394ED39E}"/>
    <hyperlink ref="EP9" r:id="rId31" xr:uid="{664289F2-F706-6541-8D42-DD8F2FB78825}"/>
    <hyperlink ref="EO3" r:id="rId32" xr:uid="{534D7A25-14C1-A542-AF03-A94194FBA5DE}"/>
    <hyperlink ref="ET9" r:id="rId33" xr:uid="{8B96B6C2-3464-ED49-AA5E-2D6367464E58}"/>
    <hyperlink ref="EY9" r:id="rId34" xr:uid="{19939801-2557-3149-9385-9D9D7684E079}"/>
    <hyperlink ref="FO7" r:id="rId35" xr:uid="{C22A3805-8587-F348-8B3B-ABC76E6B137E}"/>
    <hyperlink ref="FO8" r:id="rId36" xr:uid="{0EB90D1F-0793-E94E-9774-23BBD9CA149D}"/>
    <hyperlink ref="GI2" r:id="rId37" xr:uid="{A9A671EA-A6CF-B648-93D3-2D6C7F8ADA88}"/>
    <hyperlink ref="GI4" r:id="rId38" xr:uid="{27F6D59C-9E4C-0E4A-B178-3DA0B020764A}"/>
    <hyperlink ref="GI5" r:id="rId39" xr:uid="{A0C557F9-01FC-744E-9F55-2A0CA28451D3}"/>
    <hyperlink ref="GI6" r:id="rId40" xr:uid="{188E7263-3E99-1240-AEAD-814EE59D81C3}"/>
    <hyperlink ref="HO2" r:id="rId41" xr:uid="{84190427-0D5C-F54D-9F08-24673E1DD37E}"/>
    <hyperlink ref="HO9" r:id="rId42" display="LGS - Large General Service" xr:uid="{FACF1DEB-D8F6-F24E-A22C-CAC66FB7315A}"/>
    <hyperlink ref="HO5" r:id="rId43" xr:uid="{38F32C42-6528-1645-86DF-AB5F5A16E716}"/>
    <hyperlink ref="HO4" r:id="rId44" xr:uid="{942AD39A-1AAB-6349-81C8-A7734B6847B5}"/>
    <hyperlink ref="II5" r:id="rId45" xr:uid="{87DCC000-F0C4-BD4E-9BCD-DDB668724572}"/>
    <hyperlink ref="II4" r:id="rId46" xr:uid="{9071729E-BA8B-9E45-AA4B-DB1D7C6189D7}"/>
    <hyperlink ref="JC5" r:id="rId47" xr:uid="{6BFEEC2F-359E-6B4A-96D0-2AD4FCC1E60D}"/>
    <hyperlink ref="JC4" r:id="rId48" xr:uid="{3A6738FD-BC9F-3B49-8700-1A427F0C343F}"/>
    <hyperlink ref="II2" r:id="rId49" xr:uid="{38EBC2EB-1749-964B-9008-6084F9773F53}"/>
    <hyperlink ref="JC2" r:id="rId50" xr:uid="{1CF0E373-634C-8F46-84F2-B734DA56D8FC}"/>
    <hyperlink ref="JC9" r:id="rId51" xr:uid="{161E498A-7F22-A942-8F1D-71ACF3FB920E}"/>
    <hyperlink ref="JW9" r:id="rId52" display="LLP - Large Lighting and Power Service Rate" xr:uid="{E97A7B5E-F87D-D64D-B935-F7ACCD6DE512}"/>
    <hyperlink ref="KQ5" r:id="rId53" xr:uid="{7B17119A-A4A1-1F47-8311-29F8092BA775}"/>
    <hyperlink ref="KQ4" r:id="rId54" xr:uid="{0D21F626-40EC-C542-B7EF-6CF38FF4D281}"/>
    <hyperlink ref="KQ2" r:id="rId55" xr:uid="{148F4EB4-7DD4-1742-ACB7-33F50D5438A4}"/>
  </hyperlinks>
  <pageMargins left="0.7" right="0.7" top="0.75" bottom="0.75" header="0.3" footer="0.3"/>
  <pageSetup orientation="portrait" horizontalDpi="0" verticalDpi="0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3ABA-38A7-B349-838C-CE381734C9B9}">
  <dimension ref="A1:AG55"/>
  <sheetViews>
    <sheetView workbookViewId="0">
      <selection activeCell="M40" sqref="M40"/>
    </sheetView>
  </sheetViews>
  <sheetFormatPr baseColWidth="10" defaultColWidth="12.6640625" defaultRowHeight="15.75" customHeight="1"/>
  <cols>
    <col min="1" max="1" width="18.1640625" customWidth="1"/>
    <col min="2" max="2" width="20.1640625" customWidth="1"/>
    <col min="3" max="3" width="25.6640625" customWidth="1"/>
    <col min="4" max="4" width="23.33203125" customWidth="1"/>
    <col min="11" max="11" width="18.6640625" style="11" customWidth="1"/>
    <col min="12" max="12" width="22.6640625" customWidth="1"/>
    <col min="13" max="13" width="22.5" customWidth="1"/>
    <col min="14" max="14" width="22" customWidth="1"/>
    <col min="21" max="21" width="24.33203125" style="11" customWidth="1"/>
    <col min="22" max="22" width="28.83203125" customWidth="1"/>
    <col min="23" max="23" width="31.5" customWidth="1"/>
    <col min="24" max="24" width="28.1640625" customWidth="1"/>
  </cols>
  <sheetData>
    <row r="1" spans="1:33" ht="19">
      <c r="A1" s="40" t="s">
        <v>348</v>
      </c>
      <c r="B1" s="76" t="s">
        <v>349</v>
      </c>
      <c r="C1" s="74"/>
      <c r="D1" s="74"/>
      <c r="E1" s="74"/>
      <c r="K1" s="48" t="s">
        <v>350</v>
      </c>
      <c r="L1" s="77" t="s">
        <v>351</v>
      </c>
      <c r="M1" s="74"/>
      <c r="N1" s="74"/>
      <c r="O1" s="29"/>
      <c r="P1" s="29"/>
      <c r="Q1" s="29"/>
      <c r="R1" s="29"/>
      <c r="S1" s="29"/>
      <c r="T1" s="29"/>
      <c r="U1" s="48" t="s">
        <v>370</v>
      </c>
      <c r="V1" s="77" t="s">
        <v>371</v>
      </c>
      <c r="W1" s="74"/>
      <c r="X1" s="74"/>
    </row>
    <row r="2" spans="1:33" ht="16">
      <c r="A2" s="28"/>
      <c r="B2" s="28"/>
      <c r="C2" s="28"/>
      <c r="D2" s="28"/>
      <c r="E2" s="28"/>
      <c r="F2" s="28"/>
      <c r="G2" s="28"/>
      <c r="H2" s="28"/>
      <c r="I2" s="28"/>
      <c r="J2" s="28"/>
      <c r="K2" s="49"/>
      <c r="L2" s="25"/>
      <c r="M2" s="25"/>
      <c r="N2" s="25"/>
      <c r="O2" s="28"/>
      <c r="P2" s="28"/>
      <c r="Q2" s="28"/>
      <c r="R2" s="28"/>
      <c r="S2" s="28"/>
      <c r="T2" s="28"/>
      <c r="U2" s="49"/>
      <c r="V2" s="28"/>
      <c r="W2" s="28"/>
      <c r="X2" s="28"/>
    </row>
    <row r="3" spans="1:33" ht="16">
      <c r="A3" s="78" t="s">
        <v>388</v>
      </c>
      <c r="B3" s="79"/>
      <c r="C3" s="79"/>
      <c r="D3" s="79"/>
      <c r="E3" s="28"/>
      <c r="F3" s="28"/>
      <c r="G3" s="28"/>
      <c r="H3" s="28"/>
      <c r="I3" s="28"/>
      <c r="J3" s="28"/>
      <c r="K3" s="49" t="s">
        <v>352</v>
      </c>
      <c r="L3" s="78" t="s">
        <v>390</v>
      </c>
      <c r="M3" s="79"/>
      <c r="N3" s="79"/>
      <c r="O3" s="28"/>
      <c r="P3" s="28"/>
      <c r="Q3" s="28"/>
      <c r="R3" s="28"/>
      <c r="S3" s="28"/>
      <c r="T3" s="28"/>
      <c r="U3" s="84" t="s">
        <v>392</v>
      </c>
      <c r="V3" s="79"/>
      <c r="W3" s="79"/>
      <c r="X3" s="79"/>
    </row>
    <row r="4" spans="1:33" ht="16">
      <c r="A4" s="30"/>
      <c r="B4" s="31" t="s">
        <v>353</v>
      </c>
      <c r="C4" s="31" t="s">
        <v>354</v>
      </c>
      <c r="D4" s="31" t="s">
        <v>355</v>
      </c>
      <c r="E4" s="28"/>
      <c r="F4" s="28"/>
      <c r="G4" s="28"/>
      <c r="H4" s="28"/>
      <c r="I4" s="28"/>
      <c r="J4" s="28"/>
      <c r="K4" s="49"/>
      <c r="L4" s="30" t="s">
        <v>356</v>
      </c>
      <c r="M4" s="31" t="s">
        <v>357</v>
      </c>
      <c r="N4" s="31" t="s">
        <v>358</v>
      </c>
      <c r="O4" s="28"/>
      <c r="P4" s="28"/>
      <c r="Q4" s="28"/>
      <c r="R4" s="28"/>
      <c r="S4" s="28"/>
      <c r="T4" s="28"/>
      <c r="U4" s="50"/>
      <c r="V4" s="31" t="s">
        <v>372</v>
      </c>
      <c r="W4" s="31" t="s">
        <v>373</v>
      </c>
      <c r="X4" s="31" t="s">
        <v>374</v>
      </c>
    </row>
    <row r="5" spans="1:33" ht="16">
      <c r="A5" s="30" t="s">
        <v>359</v>
      </c>
      <c r="B5" s="26">
        <v>1.0620000000000001</v>
      </c>
      <c r="C5" s="26">
        <v>0.71599999999999997</v>
      </c>
      <c r="D5" s="26">
        <v>0.23200000000000001</v>
      </c>
      <c r="E5" s="28"/>
      <c r="F5" s="28"/>
      <c r="G5" s="28"/>
      <c r="H5" s="28"/>
      <c r="I5" s="28"/>
      <c r="J5" s="28"/>
      <c r="K5" s="49"/>
      <c r="L5" s="27">
        <v>1.0347</v>
      </c>
      <c r="M5" s="26">
        <v>0.60680000000000001</v>
      </c>
      <c r="N5" s="26">
        <v>0.25890000000000002</v>
      </c>
      <c r="O5" s="28"/>
      <c r="P5" s="28"/>
      <c r="Q5" s="28"/>
      <c r="R5" s="28"/>
      <c r="S5" s="28"/>
      <c r="T5" s="28"/>
      <c r="U5" s="50" t="s">
        <v>375</v>
      </c>
      <c r="V5" s="26">
        <v>1.0397000000000001</v>
      </c>
      <c r="W5" s="26">
        <v>0.87290000000000001</v>
      </c>
      <c r="X5" s="26">
        <v>0.33389999999999997</v>
      </c>
    </row>
    <row r="6" spans="1:33" ht="16">
      <c r="A6" s="30"/>
      <c r="B6" s="31" t="s">
        <v>360</v>
      </c>
      <c r="C6" s="31" t="s">
        <v>361</v>
      </c>
      <c r="D6" s="31" t="s">
        <v>355</v>
      </c>
      <c r="E6" s="28"/>
      <c r="F6" s="28"/>
      <c r="G6" s="28"/>
      <c r="H6" s="28"/>
      <c r="I6" s="28"/>
      <c r="J6" s="28"/>
      <c r="K6" s="49"/>
      <c r="L6" s="28"/>
      <c r="M6" s="31" t="s">
        <v>124</v>
      </c>
      <c r="N6" s="31" t="s">
        <v>365</v>
      </c>
      <c r="O6" s="28"/>
      <c r="P6" s="28"/>
      <c r="Q6" s="28"/>
      <c r="R6" s="28"/>
      <c r="S6" s="28"/>
      <c r="T6" s="28"/>
      <c r="U6" s="50"/>
      <c r="V6" s="31" t="s">
        <v>372</v>
      </c>
      <c r="W6" s="31" t="s">
        <v>373</v>
      </c>
      <c r="X6" s="31" t="s">
        <v>374</v>
      </c>
    </row>
    <row r="7" spans="1:33" ht="16">
      <c r="A7" s="30" t="s">
        <v>362</v>
      </c>
      <c r="B7" s="26">
        <v>1.02</v>
      </c>
      <c r="C7" s="26">
        <v>0.67400000000000004</v>
      </c>
      <c r="D7" s="26">
        <v>0.29699999999999999</v>
      </c>
      <c r="E7" s="28"/>
      <c r="F7" s="28"/>
      <c r="G7" s="28"/>
      <c r="H7" s="28"/>
      <c r="I7" s="28"/>
      <c r="J7" s="28"/>
      <c r="M7" s="26" t="s">
        <v>366</v>
      </c>
      <c r="N7" s="26" t="s">
        <v>367</v>
      </c>
      <c r="O7" s="73"/>
      <c r="P7" s="28"/>
      <c r="Q7" s="28"/>
      <c r="R7" s="28"/>
      <c r="S7" s="28"/>
      <c r="T7" s="28"/>
      <c r="U7" s="50" t="s">
        <v>362</v>
      </c>
      <c r="V7" s="26">
        <v>1.0397000000000001</v>
      </c>
      <c r="W7" s="26">
        <v>0.85289999999999999</v>
      </c>
      <c r="X7" s="26">
        <v>0.35389999999999999</v>
      </c>
    </row>
    <row r="8" spans="1:33" ht="16">
      <c r="A8" s="28"/>
      <c r="B8" s="28"/>
      <c r="C8" s="28"/>
      <c r="D8" s="28"/>
      <c r="E8" s="28"/>
      <c r="F8" s="28"/>
      <c r="G8" s="28"/>
      <c r="H8" s="28"/>
      <c r="I8" s="28"/>
      <c r="J8" s="28"/>
      <c r="K8" s="49" t="s">
        <v>363</v>
      </c>
      <c r="L8" s="78" t="s">
        <v>391</v>
      </c>
      <c r="M8" s="79"/>
      <c r="N8" s="79"/>
      <c r="O8" s="74"/>
      <c r="U8" s="49"/>
      <c r="V8" s="28"/>
      <c r="W8" s="28"/>
      <c r="X8" s="28"/>
    </row>
    <row r="9" spans="1:33" ht="16">
      <c r="A9" s="28"/>
      <c r="B9" s="32" t="s">
        <v>124</v>
      </c>
      <c r="C9" s="32" t="s">
        <v>365</v>
      </c>
      <c r="D9" s="28"/>
      <c r="E9" s="28"/>
      <c r="F9" s="28"/>
      <c r="G9" s="28"/>
      <c r="H9" s="28"/>
      <c r="I9" s="28"/>
      <c r="J9" s="28"/>
      <c r="K9" s="49"/>
      <c r="L9" s="30" t="s">
        <v>364</v>
      </c>
      <c r="M9" s="31" t="s">
        <v>124</v>
      </c>
      <c r="N9" s="31" t="s">
        <v>365</v>
      </c>
      <c r="O9" s="28"/>
      <c r="P9" s="28"/>
      <c r="Q9" s="28"/>
      <c r="R9" s="28"/>
      <c r="S9" s="28"/>
      <c r="T9" s="28"/>
      <c r="U9" s="49"/>
      <c r="V9" s="32" t="s">
        <v>124</v>
      </c>
      <c r="W9" s="32" t="s">
        <v>365</v>
      </c>
      <c r="X9" s="28"/>
      <c r="AA9" s="33"/>
      <c r="AB9" s="34"/>
      <c r="AE9" s="33"/>
      <c r="AF9" s="34"/>
    </row>
    <row r="10" spans="1:33" ht="16">
      <c r="A10" s="28"/>
      <c r="B10" s="32" t="s">
        <v>368</v>
      </c>
      <c r="C10" s="32" t="s">
        <v>369</v>
      </c>
      <c r="D10" s="28"/>
      <c r="E10" s="28"/>
      <c r="F10" s="28"/>
      <c r="G10" s="28"/>
      <c r="H10" s="28"/>
      <c r="I10" s="28"/>
      <c r="J10" s="28"/>
      <c r="K10" s="49"/>
      <c r="L10" s="26">
        <v>0.60680000000000001</v>
      </c>
      <c r="M10" s="26" t="s">
        <v>366</v>
      </c>
      <c r="N10" s="26" t="s">
        <v>367</v>
      </c>
      <c r="O10" s="35"/>
      <c r="P10" s="35"/>
      <c r="Q10" s="35"/>
      <c r="R10" s="35"/>
      <c r="S10" s="35"/>
      <c r="T10" s="35"/>
      <c r="U10" s="49"/>
      <c r="V10" s="26" t="s">
        <v>366</v>
      </c>
      <c r="W10" s="26" t="s">
        <v>367</v>
      </c>
      <c r="X10" s="28"/>
      <c r="AA10" s="33"/>
      <c r="AB10" s="36"/>
      <c r="AE10" s="33"/>
      <c r="AF10" s="36"/>
    </row>
    <row r="11" spans="1:33" ht="1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49"/>
      <c r="L11" s="28"/>
      <c r="M11" s="28"/>
      <c r="N11" s="28"/>
      <c r="O11" s="28"/>
      <c r="P11" s="28"/>
      <c r="Q11" s="28"/>
      <c r="R11" s="28"/>
      <c r="S11" s="28"/>
      <c r="T11" s="28"/>
      <c r="U11" s="49"/>
      <c r="V11" s="28"/>
      <c r="W11" s="28"/>
      <c r="X11" s="28"/>
      <c r="AA11" s="33"/>
      <c r="AE11" s="33"/>
    </row>
    <row r="12" spans="1:33" ht="16">
      <c r="A12" s="78" t="s">
        <v>389</v>
      </c>
      <c r="B12" s="79"/>
      <c r="C12" s="79"/>
      <c r="D12" s="79"/>
      <c r="E12" s="28"/>
      <c r="F12" s="28"/>
      <c r="G12" s="28"/>
      <c r="H12" s="28"/>
      <c r="I12" s="28"/>
      <c r="J12" s="28"/>
      <c r="K12" s="49"/>
      <c r="L12" s="28"/>
      <c r="M12" s="28"/>
      <c r="N12" s="28"/>
      <c r="O12" s="28"/>
      <c r="P12" s="28"/>
      <c r="Q12" s="28"/>
      <c r="R12" s="28"/>
      <c r="S12" s="28"/>
      <c r="T12" s="28"/>
      <c r="U12" s="75" t="s">
        <v>393</v>
      </c>
      <c r="V12" s="74"/>
      <c r="W12" s="74"/>
      <c r="X12" s="74"/>
      <c r="AA12" s="33"/>
      <c r="AE12" s="33"/>
    </row>
    <row r="13" spans="1:33" ht="16">
      <c r="A13" s="30" t="s">
        <v>359</v>
      </c>
      <c r="B13" s="26">
        <v>0.70299999999999996</v>
      </c>
      <c r="C13" s="26" t="s">
        <v>362</v>
      </c>
      <c r="D13" s="26">
        <v>0.66100000000000003</v>
      </c>
      <c r="E13" s="28"/>
      <c r="F13" s="28"/>
      <c r="G13" s="28"/>
      <c r="H13" s="28"/>
      <c r="I13" s="28"/>
      <c r="J13" s="28"/>
      <c r="K13" s="49"/>
      <c r="L13" s="28"/>
      <c r="M13" s="28"/>
      <c r="N13" s="28"/>
      <c r="O13" s="28"/>
      <c r="P13" s="28"/>
      <c r="Q13" s="28"/>
      <c r="R13" s="28"/>
      <c r="S13" s="28"/>
      <c r="T13" s="28"/>
      <c r="U13" s="80" t="s">
        <v>376</v>
      </c>
      <c r="V13" s="81"/>
      <c r="W13" s="82">
        <v>0.62170000000000003</v>
      </c>
      <c r="X13" s="83"/>
    </row>
    <row r="14" spans="1:33" ht="16">
      <c r="A14" s="28"/>
      <c r="B14" s="28"/>
      <c r="C14" s="28"/>
      <c r="D14" s="28"/>
      <c r="E14" s="28"/>
      <c r="F14" s="28"/>
      <c r="G14" s="28"/>
      <c r="H14" s="28"/>
      <c r="I14" s="28"/>
      <c r="J14" s="28"/>
      <c r="O14" s="28"/>
      <c r="P14" s="28"/>
      <c r="Q14" s="28"/>
      <c r="R14" s="28"/>
      <c r="S14" s="28"/>
      <c r="T14" s="28"/>
      <c r="U14" s="49"/>
      <c r="V14" s="28"/>
      <c r="W14" s="28"/>
      <c r="X14" s="28"/>
      <c r="Y14" s="33"/>
      <c r="AA14" s="33"/>
      <c r="AB14" s="33"/>
      <c r="AC14" s="33"/>
      <c r="AE14" s="33"/>
      <c r="AF14" s="33"/>
      <c r="AG14" s="33"/>
    </row>
    <row r="15" spans="1:33" ht="16">
      <c r="A15" s="28"/>
      <c r="B15" s="32" t="s">
        <v>124</v>
      </c>
      <c r="C15" s="32" t="s">
        <v>365</v>
      </c>
      <c r="D15" s="28"/>
      <c r="E15" s="28"/>
      <c r="F15" s="28"/>
      <c r="G15" s="28"/>
      <c r="H15" s="28"/>
      <c r="I15" s="28"/>
      <c r="J15" s="28"/>
      <c r="O15" s="28"/>
      <c r="P15" s="28"/>
      <c r="Q15" s="28"/>
      <c r="R15" s="28"/>
      <c r="S15" s="28"/>
      <c r="T15" s="28"/>
      <c r="U15" s="49"/>
      <c r="V15" s="32" t="s">
        <v>124</v>
      </c>
      <c r="W15" s="32" t="s">
        <v>365</v>
      </c>
      <c r="X15" s="28"/>
    </row>
    <row r="16" spans="1:33" ht="16">
      <c r="A16" s="28"/>
      <c r="B16" s="26" t="s">
        <v>368</v>
      </c>
      <c r="C16" s="26" t="s">
        <v>369</v>
      </c>
      <c r="D16" s="28"/>
      <c r="E16" s="28"/>
      <c r="F16" s="28"/>
      <c r="G16" s="28"/>
      <c r="H16" s="28"/>
      <c r="I16" s="28"/>
      <c r="J16" s="28"/>
      <c r="O16" s="73"/>
      <c r="P16" s="28"/>
      <c r="Q16" s="28"/>
      <c r="R16" s="28"/>
      <c r="S16" s="28"/>
      <c r="T16" s="28"/>
      <c r="U16" s="49"/>
      <c r="V16" s="26" t="s">
        <v>366</v>
      </c>
      <c r="W16" s="26" t="s">
        <v>367</v>
      </c>
      <c r="X16" s="28"/>
    </row>
    <row r="17" spans="1:33" ht="16">
      <c r="A17" s="28"/>
      <c r="B17" s="28"/>
      <c r="C17" s="28"/>
      <c r="D17" s="28"/>
      <c r="E17" s="28"/>
      <c r="F17" s="28"/>
      <c r="G17" s="28"/>
      <c r="H17" s="28"/>
      <c r="I17" s="28"/>
      <c r="J17" s="28"/>
      <c r="O17" s="74"/>
      <c r="U17" s="49"/>
      <c r="V17" s="28"/>
      <c r="W17" s="28"/>
      <c r="X17" s="28"/>
    </row>
    <row r="18" spans="1:33" ht="16">
      <c r="B18" s="28"/>
      <c r="C18" s="28"/>
      <c r="D18" s="28"/>
      <c r="E18" s="28"/>
      <c r="F18" s="28"/>
      <c r="G18" s="28"/>
      <c r="H18" s="28"/>
      <c r="I18" s="28"/>
      <c r="J18" s="28"/>
      <c r="O18" s="28"/>
      <c r="P18" s="28"/>
      <c r="Q18" s="28"/>
      <c r="R18" s="28"/>
      <c r="S18" s="28"/>
      <c r="T18" s="28"/>
      <c r="U18" s="49"/>
      <c r="V18" s="28"/>
    </row>
    <row r="19" spans="1:33" ht="16">
      <c r="A19" s="5" t="s">
        <v>28</v>
      </c>
      <c r="B19" s="6">
        <v>0.25</v>
      </c>
      <c r="C19" s="6"/>
      <c r="D19" s="5"/>
      <c r="E19" s="28"/>
      <c r="F19" s="28"/>
      <c r="G19" s="28"/>
      <c r="H19" s="28"/>
      <c r="I19" s="28"/>
      <c r="J19" s="28"/>
      <c r="O19" s="28"/>
      <c r="P19" s="28"/>
      <c r="Q19" s="28"/>
      <c r="R19" s="28"/>
      <c r="S19" s="28"/>
      <c r="T19" s="28"/>
      <c r="U19" s="49"/>
      <c r="V19" s="28"/>
      <c r="AA19" s="33"/>
      <c r="AB19" s="33"/>
      <c r="AC19" s="33"/>
    </row>
    <row r="20" spans="1:33" ht="16">
      <c r="A20" s="5" t="s">
        <v>29</v>
      </c>
      <c r="B20" s="6">
        <v>96</v>
      </c>
      <c r="C20" s="6"/>
      <c r="D20" s="5"/>
      <c r="E20" s="28"/>
      <c r="F20" s="28"/>
      <c r="G20" s="28"/>
      <c r="H20" s="28"/>
      <c r="I20" s="28"/>
      <c r="J20" s="28"/>
      <c r="O20" s="28"/>
      <c r="P20" s="28"/>
      <c r="Q20" s="28"/>
      <c r="R20" s="28"/>
      <c r="S20" s="28"/>
      <c r="T20" s="28"/>
      <c r="U20" s="49"/>
      <c r="V20" s="28"/>
      <c r="AE20" s="33"/>
      <c r="AF20" s="33"/>
      <c r="AG20" s="33"/>
    </row>
    <row r="21" spans="1:33" ht="16">
      <c r="A21" s="5" t="s">
        <v>83</v>
      </c>
      <c r="B21" s="6">
        <v>30.5</v>
      </c>
      <c r="C21" s="6"/>
      <c r="D21" s="5"/>
      <c r="E21" s="28"/>
      <c r="F21" s="28"/>
      <c r="G21" s="28"/>
      <c r="H21" s="28"/>
      <c r="I21" s="28"/>
      <c r="J21" s="28"/>
      <c r="O21" s="28"/>
      <c r="P21" s="28"/>
      <c r="Q21" s="28"/>
      <c r="R21" s="28"/>
      <c r="S21" s="28"/>
      <c r="T21" s="28"/>
      <c r="U21" s="49"/>
      <c r="V21" s="28"/>
    </row>
    <row r="22" spans="1:33" ht="16">
      <c r="A22" s="5" t="s">
        <v>394</v>
      </c>
      <c r="B22" s="6">
        <v>0.14000000000000001</v>
      </c>
      <c r="C22" s="6"/>
      <c r="D22" s="7"/>
      <c r="E22" s="28"/>
      <c r="F22" s="28"/>
      <c r="G22" s="28"/>
      <c r="H22" s="28"/>
      <c r="I22" s="28"/>
      <c r="J22" s="28"/>
      <c r="O22" s="28"/>
      <c r="P22" s="28"/>
      <c r="Q22" s="28"/>
      <c r="R22" s="28"/>
      <c r="S22" s="28"/>
      <c r="T22" s="28"/>
      <c r="U22" s="49"/>
      <c r="V22" s="28"/>
    </row>
    <row r="23" spans="1:33" ht="16">
      <c r="A23" s="5"/>
      <c r="B23" s="6"/>
      <c r="C23" s="6"/>
      <c r="D23" s="7"/>
      <c r="E23" s="28"/>
      <c r="F23" s="28"/>
      <c r="G23" s="28"/>
      <c r="H23" s="28"/>
      <c r="I23" s="28"/>
      <c r="J23" s="28"/>
      <c r="O23" s="28"/>
      <c r="P23" s="28"/>
      <c r="Q23" s="28"/>
      <c r="R23" s="28"/>
      <c r="S23" s="28"/>
      <c r="T23" s="28"/>
      <c r="U23" s="49"/>
      <c r="V23" s="28"/>
    </row>
    <row r="24" spans="1:33" ht="16">
      <c r="A24" s="38" t="s">
        <v>398</v>
      </c>
      <c r="C24" s="6"/>
      <c r="D24" s="6"/>
      <c r="E24" s="28"/>
      <c r="F24" s="28"/>
      <c r="G24" s="28"/>
      <c r="H24" s="28"/>
      <c r="I24" s="28"/>
      <c r="J24" s="28"/>
      <c r="O24" s="28"/>
      <c r="P24" s="28"/>
      <c r="Q24" s="28"/>
      <c r="R24" s="28"/>
      <c r="S24" s="28"/>
      <c r="T24" s="28"/>
      <c r="U24" s="49"/>
      <c r="V24" s="28"/>
    </row>
    <row r="25" spans="1:33" ht="16">
      <c r="A25" s="6" t="s">
        <v>75</v>
      </c>
      <c r="C25" s="6"/>
      <c r="D25" s="6"/>
      <c r="E25" s="28"/>
      <c r="F25" s="28"/>
      <c r="G25" s="28"/>
      <c r="H25" s="28"/>
      <c r="I25" s="28"/>
      <c r="J25" s="28"/>
      <c r="O25" s="28"/>
      <c r="P25" s="28"/>
      <c r="Q25" s="28"/>
      <c r="R25" s="28"/>
      <c r="S25" s="28"/>
      <c r="T25" s="28"/>
      <c r="U25" s="49"/>
      <c r="V25" s="28"/>
    </row>
    <row r="26" spans="1:33" ht="16">
      <c r="A26" s="6" t="s">
        <v>76</v>
      </c>
      <c r="B26" s="6"/>
      <c r="C26" s="6"/>
      <c r="D26" s="6"/>
      <c r="E26" s="28"/>
      <c r="F26" s="28"/>
      <c r="G26" s="28"/>
      <c r="H26" s="28"/>
      <c r="I26" s="28"/>
      <c r="J26" s="28"/>
      <c r="O26" s="28"/>
      <c r="P26" s="28"/>
      <c r="Q26" s="28"/>
      <c r="R26" s="28"/>
      <c r="S26" s="28"/>
      <c r="T26" s="28"/>
      <c r="U26" s="49"/>
      <c r="V26" s="28"/>
    </row>
    <row r="27" spans="1:33" ht="16">
      <c r="A27" s="7"/>
      <c r="B27" s="6"/>
      <c r="C27" s="6"/>
      <c r="D27" s="6"/>
      <c r="E27" s="28"/>
      <c r="F27" s="28"/>
      <c r="G27" s="28"/>
      <c r="H27" s="28"/>
      <c r="I27" s="28"/>
      <c r="J27" s="28"/>
      <c r="O27" s="28"/>
      <c r="P27" s="28"/>
      <c r="Q27" s="28"/>
      <c r="R27" s="28"/>
      <c r="S27" s="28"/>
      <c r="T27" s="28"/>
      <c r="U27" s="49"/>
      <c r="V27" s="28"/>
    </row>
    <row r="28" spans="1:33" ht="16">
      <c r="A28" s="5" t="s">
        <v>36</v>
      </c>
      <c r="B28" s="1" t="s">
        <v>397</v>
      </c>
      <c r="C28" s="6"/>
      <c r="D28" s="6"/>
      <c r="E28" s="28"/>
      <c r="F28" s="5" t="s">
        <v>36</v>
      </c>
      <c r="G28" s="1" t="s">
        <v>406</v>
      </c>
      <c r="H28" s="6"/>
      <c r="I28" s="6"/>
      <c r="J28" s="28"/>
      <c r="K28" s="12" t="s">
        <v>36</v>
      </c>
      <c r="L28" s="1" t="s">
        <v>407</v>
      </c>
      <c r="M28" s="6"/>
      <c r="N28" s="6"/>
      <c r="O28" s="28"/>
      <c r="P28" s="5" t="s">
        <v>36</v>
      </c>
      <c r="Q28" s="1" t="s">
        <v>410</v>
      </c>
      <c r="R28" s="6"/>
      <c r="S28" s="6"/>
      <c r="T28" s="28"/>
      <c r="U28" s="12" t="s">
        <v>36</v>
      </c>
      <c r="V28" s="1" t="s">
        <v>411</v>
      </c>
      <c r="W28" s="6"/>
      <c r="X28" s="6"/>
      <c r="Z28" s="5" t="s">
        <v>36</v>
      </c>
      <c r="AA28" s="51" t="s">
        <v>412</v>
      </c>
      <c r="AB28" s="6"/>
      <c r="AC28" s="6"/>
    </row>
    <row r="29" spans="1:33" ht="16">
      <c r="A29" s="5" t="s">
        <v>43</v>
      </c>
      <c r="B29" s="8">
        <v>44197</v>
      </c>
      <c r="C29" s="6"/>
      <c r="D29" s="6"/>
      <c r="E29" s="28"/>
      <c r="F29" s="5" t="s">
        <v>43</v>
      </c>
      <c r="G29" s="8">
        <v>44197</v>
      </c>
      <c r="H29" s="6"/>
      <c r="I29" s="6"/>
      <c r="J29" s="28"/>
      <c r="K29" s="12" t="s">
        <v>43</v>
      </c>
      <c r="L29" s="8">
        <v>44197</v>
      </c>
      <c r="M29" s="6"/>
      <c r="N29" s="6"/>
      <c r="O29" s="28"/>
      <c r="P29" s="5" t="s">
        <v>43</v>
      </c>
      <c r="Q29" s="8">
        <v>44197</v>
      </c>
      <c r="R29" s="6"/>
      <c r="S29" s="6"/>
      <c r="T29" s="28"/>
      <c r="U29" s="12" t="s">
        <v>43</v>
      </c>
      <c r="V29" s="8">
        <v>44197</v>
      </c>
      <c r="W29" s="6"/>
      <c r="X29" s="6"/>
      <c r="Z29" s="5" t="s">
        <v>43</v>
      </c>
      <c r="AA29" s="8">
        <v>44197</v>
      </c>
      <c r="AB29" s="6"/>
      <c r="AC29" s="6"/>
    </row>
    <row r="30" spans="1:33" ht="16">
      <c r="A30" s="5" t="s">
        <v>44</v>
      </c>
      <c r="B30" s="6" t="s">
        <v>395</v>
      </c>
      <c r="C30" s="6"/>
      <c r="D30" s="6"/>
      <c r="E30" s="28"/>
      <c r="F30" s="5" t="s">
        <v>44</v>
      </c>
      <c r="G30" s="6" t="s">
        <v>395</v>
      </c>
      <c r="H30" s="6"/>
      <c r="I30" s="6"/>
      <c r="J30" s="28"/>
      <c r="K30" s="12" t="s">
        <v>44</v>
      </c>
      <c r="L30" s="6" t="s">
        <v>395</v>
      </c>
      <c r="M30" s="6"/>
      <c r="N30" s="6"/>
      <c r="O30" s="28"/>
      <c r="P30" s="5" t="s">
        <v>44</v>
      </c>
      <c r="Q30" s="6" t="s">
        <v>395</v>
      </c>
      <c r="R30" s="6"/>
      <c r="S30" s="6"/>
      <c r="T30" s="28"/>
      <c r="U30" s="12" t="s">
        <v>44</v>
      </c>
      <c r="V30" s="6" t="s">
        <v>395</v>
      </c>
      <c r="W30" s="6"/>
      <c r="X30" s="6"/>
      <c r="Z30" s="5" t="s">
        <v>44</v>
      </c>
      <c r="AA30" s="6" t="s">
        <v>395</v>
      </c>
      <c r="AB30" s="6"/>
      <c r="AC30" s="6"/>
    </row>
    <row r="31" spans="1:33" ht="16">
      <c r="A31" s="5" t="s">
        <v>46</v>
      </c>
      <c r="B31" s="6" t="s">
        <v>396</v>
      </c>
      <c r="C31" s="6"/>
      <c r="D31" s="6"/>
      <c r="E31" s="28"/>
      <c r="F31" s="5" t="s">
        <v>46</v>
      </c>
      <c r="G31" s="6" t="s">
        <v>396</v>
      </c>
      <c r="H31" s="6"/>
      <c r="I31" s="6"/>
      <c r="J31" s="28"/>
      <c r="K31" s="12" t="s">
        <v>46</v>
      </c>
      <c r="L31" s="6" t="s">
        <v>396</v>
      </c>
      <c r="M31" s="6"/>
      <c r="N31" s="6"/>
      <c r="O31" s="28"/>
      <c r="P31" s="5" t="s">
        <v>46</v>
      </c>
      <c r="Q31" s="6" t="s">
        <v>396</v>
      </c>
      <c r="R31" s="6"/>
      <c r="S31" s="6"/>
      <c r="T31" s="28"/>
      <c r="U31" s="12" t="s">
        <v>46</v>
      </c>
      <c r="V31" s="6" t="s">
        <v>396</v>
      </c>
      <c r="W31" s="6"/>
      <c r="X31" s="6"/>
      <c r="Z31" s="5" t="s">
        <v>46</v>
      </c>
      <c r="AA31" s="6" t="s">
        <v>396</v>
      </c>
      <c r="AB31" s="6"/>
      <c r="AC31" s="6"/>
    </row>
    <row r="32" spans="1:33" ht="16">
      <c r="A32" s="6"/>
      <c r="B32" s="6"/>
      <c r="C32" s="6"/>
      <c r="D32" s="6"/>
      <c r="E32" s="28"/>
      <c r="F32" s="6"/>
      <c r="G32" s="6"/>
      <c r="H32" s="6"/>
      <c r="I32" s="6"/>
      <c r="J32" s="28"/>
      <c r="K32" s="13"/>
      <c r="L32" s="6"/>
      <c r="M32" s="6"/>
      <c r="N32" s="6"/>
      <c r="O32" s="28"/>
      <c r="P32" s="6"/>
      <c r="Q32" s="6"/>
      <c r="R32" s="6"/>
      <c r="S32" s="6"/>
      <c r="T32" s="28"/>
      <c r="U32" s="13"/>
      <c r="V32" s="6"/>
      <c r="W32" s="6"/>
      <c r="X32" s="6"/>
      <c r="Z32" s="6"/>
      <c r="AA32" s="6"/>
      <c r="AB32" s="6"/>
      <c r="AC32" s="6"/>
    </row>
    <row r="33" spans="1:29" ht="16">
      <c r="A33" s="5" t="s">
        <v>48</v>
      </c>
      <c r="B33" s="5" t="s">
        <v>49</v>
      </c>
      <c r="C33" s="5" t="s">
        <v>401</v>
      </c>
      <c r="D33" s="5" t="s">
        <v>399</v>
      </c>
      <c r="E33" s="28"/>
      <c r="F33" s="5" t="s">
        <v>48</v>
      </c>
      <c r="G33" s="5" t="s">
        <v>49</v>
      </c>
      <c r="H33" s="5" t="s">
        <v>401</v>
      </c>
      <c r="I33" s="5" t="s">
        <v>399</v>
      </c>
      <c r="J33" s="28"/>
      <c r="K33" s="12" t="s">
        <v>48</v>
      </c>
      <c r="L33" s="5" t="s">
        <v>49</v>
      </c>
      <c r="M33" s="5" t="s">
        <v>408</v>
      </c>
      <c r="N33" s="5" t="s">
        <v>409</v>
      </c>
      <c r="O33" s="28"/>
      <c r="P33" s="5" t="s">
        <v>48</v>
      </c>
      <c r="Q33" s="5" t="s">
        <v>49</v>
      </c>
      <c r="R33" s="5" t="s">
        <v>408</v>
      </c>
      <c r="S33" s="5" t="s">
        <v>409</v>
      </c>
      <c r="T33" s="28"/>
      <c r="U33" s="12" t="s">
        <v>48</v>
      </c>
      <c r="V33" s="5" t="s">
        <v>49</v>
      </c>
      <c r="W33" s="5" t="s">
        <v>401</v>
      </c>
      <c r="X33" s="5" t="s">
        <v>399</v>
      </c>
      <c r="Z33" s="5" t="s">
        <v>48</v>
      </c>
      <c r="AA33" s="5" t="s">
        <v>49</v>
      </c>
      <c r="AB33" s="5" t="s">
        <v>408</v>
      </c>
      <c r="AC33" s="5" t="s">
        <v>409</v>
      </c>
    </row>
    <row r="34" spans="1:29" ht="16">
      <c r="A34" s="6">
        <v>0</v>
      </c>
      <c r="B34" s="6">
        <f>A34/$B$19</f>
        <v>0</v>
      </c>
      <c r="C34" s="6">
        <f>D34*$B$22</f>
        <v>3.2480000000000002E-2</v>
      </c>
      <c r="D34" s="6">
        <v>0.23200000000000001</v>
      </c>
      <c r="F34" s="6">
        <v>0</v>
      </c>
      <c r="G34" s="6">
        <f>F34/$B$19</f>
        <v>0</v>
      </c>
      <c r="H34" s="6">
        <f>I34*$B$22</f>
        <v>9.8420000000000007E-2</v>
      </c>
      <c r="I34" s="6">
        <v>0.70299999999999996</v>
      </c>
      <c r="K34" s="13">
        <v>0</v>
      </c>
      <c r="L34" s="6">
        <f>K34/$B$19</f>
        <v>0</v>
      </c>
      <c r="M34" s="6">
        <f>N34*$B$22</f>
        <v>3.6246000000000007E-2</v>
      </c>
      <c r="N34" s="6">
        <v>0.25890000000000002</v>
      </c>
      <c r="P34" s="6">
        <v>0</v>
      </c>
      <c r="Q34" s="6">
        <f>P34/$B$19</f>
        <v>0</v>
      </c>
      <c r="R34" s="6">
        <f>S34*$B$22</f>
        <v>8.4952000000000014E-2</v>
      </c>
      <c r="S34" s="6">
        <v>0.60680000000000001</v>
      </c>
      <c r="U34" s="13">
        <v>0</v>
      </c>
      <c r="V34" s="6">
        <f>U34/$B$19</f>
        <v>0</v>
      </c>
      <c r="W34" s="6">
        <f>X34*$B$22</f>
        <v>4.6746000000000003E-2</v>
      </c>
      <c r="X34" s="6">
        <v>0.33389999999999997</v>
      </c>
      <c r="Z34" s="6">
        <v>0</v>
      </c>
      <c r="AA34" s="6">
        <f>Z34/$B$19</f>
        <v>0</v>
      </c>
      <c r="AB34" s="6">
        <f>AC34*$B$22</f>
        <v>8.7038000000000018E-2</v>
      </c>
      <c r="AC34" s="6">
        <v>0.62170000000000003</v>
      </c>
    </row>
    <row r="35" spans="1:29" ht="16">
      <c r="A35" s="6">
        <v>6</v>
      </c>
      <c r="B35" s="6">
        <f t="shared" ref="B35:B42" si="0">A35/$B$19</f>
        <v>24</v>
      </c>
      <c r="C35" s="6">
        <f t="shared" ref="C35:C44" si="1">D35*$B$22</f>
        <v>0.10024000000000001</v>
      </c>
      <c r="D35" s="6">
        <v>0.71599999999999997</v>
      </c>
      <c r="F35" s="6" t="s">
        <v>403</v>
      </c>
      <c r="G35" t="s">
        <v>405</v>
      </c>
      <c r="H35" s="6">
        <f t="shared" ref="H35:H36" si="2">I35*$B$22</f>
        <v>9.8000000000000007</v>
      </c>
      <c r="I35" s="6">
        <f>42+28</f>
        <v>70</v>
      </c>
      <c r="K35" s="13">
        <v>8</v>
      </c>
      <c r="L35" s="6">
        <f t="shared" ref="L35:L38" si="3">K35/$B$19</f>
        <v>32</v>
      </c>
      <c r="M35" s="6">
        <f t="shared" ref="M35:M40" si="4">N35*$B$22</f>
        <v>0.14485800000000001</v>
      </c>
      <c r="N35" s="6">
        <v>1.0347</v>
      </c>
      <c r="P35" s="6" t="s">
        <v>403</v>
      </c>
      <c r="Q35" t="s">
        <v>405</v>
      </c>
      <c r="R35" s="6">
        <f t="shared" ref="R35:R36" si="5">S35*$B$22</f>
        <v>9.8000000000000007</v>
      </c>
      <c r="S35" s="6">
        <f>40+30</f>
        <v>70</v>
      </c>
      <c r="U35" s="13">
        <v>8</v>
      </c>
      <c r="V35" s="6">
        <f t="shared" ref="V35:V40" si="6">U35/$B$19</f>
        <v>32</v>
      </c>
      <c r="W35" s="6">
        <f t="shared" ref="W35:W39" si="7">X35*$B$22</f>
        <v>0.12220600000000001</v>
      </c>
      <c r="X35" s="6">
        <v>0.87290000000000001</v>
      </c>
      <c r="Z35" s="6" t="s">
        <v>403</v>
      </c>
      <c r="AA35" t="s">
        <v>405</v>
      </c>
      <c r="AB35" s="6">
        <f>AC35*$B$22</f>
        <v>9.8000000000000007</v>
      </c>
      <c r="AC35" s="6">
        <f>40+30</f>
        <v>70</v>
      </c>
    </row>
    <row r="36" spans="1:29" ht="16">
      <c r="A36" s="6">
        <v>8</v>
      </c>
      <c r="B36" s="6">
        <f t="shared" si="0"/>
        <v>32</v>
      </c>
      <c r="C36" s="6">
        <f>D36*$B$22</f>
        <v>0.14868000000000003</v>
      </c>
      <c r="D36" s="6">
        <v>1.0620000000000001</v>
      </c>
      <c r="F36" s="6" t="s">
        <v>404</v>
      </c>
      <c r="G36" t="s">
        <v>405</v>
      </c>
      <c r="H36" s="6">
        <f t="shared" si="2"/>
        <v>0.32131147540983607</v>
      </c>
      <c r="I36" s="6">
        <f>I35/$B$21</f>
        <v>2.2950819672131146</v>
      </c>
      <c r="K36" s="13">
        <v>12</v>
      </c>
      <c r="L36" s="6">
        <f t="shared" si="3"/>
        <v>48</v>
      </c>
      <c r="M36" s="6">
        <f t="shared" si="4"/>
        <v>8.4952000000000014E-2</v>
      </c>
      <c r="N36" s="6">
        <v>0.60680000000000001</v>
      </c>
      <c r="P36" s="6" t="s">
        <v>404</v>
      </c>
      <c r="Q36" t="s">
        <v>405</v>
      </c>
      <c r="R36" s="6">
        <f t="shared" si="5"/>
        <v>0.32131147540983607</v>
      </c>
      <c r="S36" s="6">
        <f>S35/$B$21</f>
        <v>2.2950819672131146</v>
      </c>
      <c r="U36" s="13">
        <v>11</v>
      </c>
      <c r="V36" s="6">
        <f t="shared" si="6"/>
        <v>44</v>
      </c>
      <c r="W36" s="6">
        <f t="shared" si="7"/>
        <v>4.6746000000000003E-2</v>
      </c>
      <c r="X36" s="6">
        <v>0.33389999999999997</v>
      </c>
      <c r="Z36" s="6" t="s">
        <v>404</v>
      </c>
      <c r="AA36" t="s">
        <v>405</v>
      </c>
      <c r="AB36" s="6">
        <f>AC36*$B$22</f>
        <v>0.32131147540983607</v>
      </c>
      <c r="AC36" s="6">
        <f>AC35/$B$21</f>
        <v>2.2950819672131146</v>
      </c>
    </row>
    <row r="37" spans="1:29" ht="16">
      <c r="A37" s="6">
        <v>11</v>
      </c>
      <c r="B37" s="6">
        <f t="shared" si="0"/>
        <v>44</v>
      </c>
      <c r="C37" s="6">
        <f t="shared" si="1"/>
        <v>0.10024000000000001</v>
      </c>
      <c r="D37" s="6">
        <v>0.71599999999999997</v>
      </c>
      <c r="I37" s="6"/>
      <c r="K37" s="13">
        <v>17</v>
      </c>
      <c r="L37" s="6">
        <f t="shared" si="3"/>
        <v>68</v>
      </c>
      <c r="M37" s="6">
        <f t="shared" si="4"/>
        <v>0.14485800000000001</v>
      </c>
      <c r="N37" s="6">
        <v>1.0347</v>
      </c>
      <c r="U37" s="13">
        <v>13</v>
      </c>
      <c r="V37" s="6">
        <f t="shared" si="6"/>
        <v>52</v>
      </c>
      <c r="W37" s="6">
        <f t="shared" si="7"/>
        <v>0.12220600000000001</v>
      </c>
      <c r="X37" s="6">
        <v>0.87290000000000001</v>
      </c>
    </row>
    <row r="38" spans="1:29" ht="16">
      <c r="A38" s="6">
        <v>13</v>
      </c>
      <c r="B38" s="6">
        <f t="shared" si="0"/>
        <v>52</v>
      </c>
      <c r="C38" s="6">
        <f t="shared" si="1"/>
        <v>0.14868000000000003</v>
      </c>
      <c r="D38" s="6">
        <v>1.0620000000000001</v>
      </c>
      <c r="E38" s="37"/>
      <c r="F38" s="5" t="s">
        <v>48</v>
      </c>
      <c r="G38" s="5" t="s">
        <v>49</v>
      </c>
      <c r="H38" s="5" t="s">
        <v>402</v>
      </c>
      <c r="I38" s="5" t="s">
        <v>400</v>
      </c>
      <c r="J38" s="37"/>
      <c r="K38" s="13">
        <v>21</v>
      </c>
      <c r="L38" s="6">
        <f t="shared" si="3"/>
        <v>84</v>
      </c>
      <c r="M38" s="6">
        <f t="shared" si="4"/>
        <v>8.4952000000000014E-2</v>
      </c>
      <c r="N38" s="6">
        <v>0.60680000000000001</v>
      </c>
      <c r="U38" s="13">
        <v>19</v>
      </c>
      <c r="V38" s="6">
        <f t="shared" si="6"/>
        <v>76</v>
      </c>
      <c r="W38" s="6">
        <f t="shared" si="7"/>
        <v>0.14555800000000002</v>
      </c>
      <c r="X38" s="6">
        <v>1.0397000000000001</v>
      </c>
    </row>
    <row r="39" spans="1:29" ht="16">
      <c r="A39" s="6">
        <v>15</v>
      </c>
      <c r="B39" s="6">
        <f t="shared" si="0"/>
        <v>60</v>
      </c>
      <c r="C39" s="6">
        <f t="shared" si="1"/>
        <v>0.10024000000000001</v>
      </c>
      <c r="D39" s="6">
        <v>0.71599999999999997</v>
      </c>
      <c r="E39" s="37"/>
      <c r="F39" s="6">
        <v>0</v>
      </c>
      <c r="G39" s="6">
        <f>F39/$B$19</f>
        <v>0</v>
      </c>
      <c r="H39" s="6">
        <f>I39*$B$22</f>
        <v>9.2540000000000011E-2</v>
      </c>
      <c r="I39" s="6">
        <v>0.66100000000000003</v>
      </c>
      <c r="J39" s="37"/>
      <c r="K39" s="13" t="s">
        <v>403</v>
      </c>
      <c r="L39" t="s">
        <v>405</v>
      </c>
      <c r="M39" s="6">
        <f t="shared" si="4"/>
        <v>9.8000000000000007</v>
      </c>
      <c r="N39" s="6">
        <f>40+30</f>
        <v>70</v>
      </c>
      <c r="U39" s="13">
        <v>21</v>
      </c>
      <c r="V39" s="6">
        <f t="shared" si="6"/>
        <v>84</v>
      </c>
      <c r="W39" s="6">
        <f t="shared" si="7"/>
        <v>0.12220600000000001</v>
      </c>
      <c r="X39" s="6">
        <v>0.87290000000000001</v>
      </c>
    </row>
    <row r="40" spans="1:29" ht="16">
      <c r="A40" s="6">
        <v>18</v>
      </c>
      <c r="B40" s="6">
        <f t="shared" si="0"/>
        <v>72</v>
      </c>
      <c r="C40" s="6">
        <f t="shared" si="1"/>
        <v>0.14868000000000003</v>
      </c>
      <c r="D40" s="6">
        <v>1.0620000000000001</v>
      </c>
      <c r="E40" s="37"/>
      <c r="F40" s="6" t="s">
        <v>403</v>
      </c>
      <c r="G40" t="s">
        <v>405</v>
      </c>
      <c r="H40" s="6">
        <f t="shared" ref="H40:H41" si="8">I40*$B$22</f>
        <v>9.8000000000000007</v>
      </c>
      <c r="I40" s="6">
        <f>42+28</f>
        <v>70</v>
      </c>
      <c r="J40" s="37"/>
      <c r="K40" s="13" t="s">
        <v>404</v>
      </c>
      <c r="L40" t="s">
        <v>405</v>
      </c>
      <c r="M40" s="6">
        <f t="shared" si="4"/>
        <v>0.32131147540983607</v>
      </c>
      <c r="N40" s="6">
        <f>N39/$B$21</f>
        <v>2.2950819672131146</v>
      </c>
      <c r="U40" s="13">
        <v>22</v>
      </c>
      <c r="V40" s="6">
        <f t="shared" si="6"/>
        <v>88</v>
      </c>
      <c r="W40" s="6">
        <f>X40*$B$22</f>
        <v>4.6746000000000003E-2</v>
      </c>
      <c r="X40" s="6">
        <v>0.33389999999999997</v>
      </c>
    </row>
    <row r="41" spans="1:29" ht="16">
      <c r="A41" s="6">
        <v>21</v>
      </c>
      <c r="B41" s="6">
        <f t="shared" si="0"/>
        <v>84</v>
      </c>
      <c r="C41" s="6">
        <f t="shared" si="1"/>
        <v>0.10024000000000001</v>
      </c>
      <c r="D41" s="6">
        <v>0.71599999999999997</v>
      </c>
      <c r="E41" s="37"/>
      <c r="F41" s="6" t="s">
        <v>404</v>
      </c>
      <c r="G41" t="s">
        <v>405</v>
      </c>
      <c r="H41" s="6">
        <f t="shared" si="8"/>
        <v>0.32131147540983607</v>
      </c>
      <c r="I41" s="6">
        <f>I40/$B$21</f>
        <v>2.2950819672131146</v>
      </c>
      <c r="J41" s="37"/>
      <c r="N41" s="6"/>
      <c r="U41" s="13" t="s">
        <v>403</v>
      </c>
      <c r="V41" t="s">
        <v>405</v>
      </c>
      <c r="W41" s="6">
        <f>X41*$B$22</f>
        <v>9.8000000000000007</v>
      </c>
      <c r="X41" s="6">
        <f>40+30</f>
        <v>70</v>
      </c>
    </row>
    <row r="42" spans="1:29" ht="16">
      <c r="A42" s="6">
        <v>22</v>
      </c>
      <c r="B42" s="6">
        <f t="shared" si="0"/>
        <v>88</v>
      </c>
      <c r="C42" s="6">
        <f t="shared" si="1"/>
        <v>3.2480000000000002E-2</v>
      </c>
      <c r="D42" s="6">
        <v>0.23200000000000001</v>
      </c>
      <c r="E42" s="37"/>
      <c r="F42" s="37"/>
      <c r="G42" s="37"/>
      <c r="H42" s="37"/>
      <c r="I42" s="37"/>
      <c r="J42" s="37"/>
      <c r="U42" s="13" t="s">
        <v>404</v>
      </c>
      <c r="V42" t="s">
        <v>405</v>
      </c>
      <c r="W42" s="6">
        <f>X42*$B$22</f>
        <v>0.32131147540983607</v>
      </c>
      <c r="X42" s="6">
        <f>X41/$B$21</f>
        <v>2.2950819672131146</v>
      </c>
    </row>
    <row r="43" spans="1:29" ht="16">
      <c r="A43" s="6" t="s">
        <v>403</v>
      </c>
      <c r="B43" t="s">
        <v>405</v>
      </c>
      <c r="C43" s="6">
        <f t="shared" si="1"/>
        <v>9.8000000000000007</v>
      </c>
      <c r="D43" s="6">
        <f>42+28</f>
        <v>70</v>
      </c>
      <c r="E43" s="37"/>
      <c r="F43" s="37"/>
      <c r="G43" s="37"/>
      <c r="H43" s="37"/>
      <c r="I43" s="37"/>
      <c r="J43" s="37"/>
    </row>
    <row r="44" spans="1:29" ht="16">
      <c r="A44" s="6" t="s">
        <v>404</v>
      </c>
      <c r="B44" t="s">
        <v>405</v>
      </c>
      <c r="C44" s="6">
        <f t="shared" si="1"/>
        <v>0.32131147540983607</v>
      </c>
      <c r="D44" s="6">
        <f>D43/$B$21</f>
        <v>2.2950819672131146</v>
      </c>
      <c r="E44" s="37"/>
      <c r="F44" s="37"/>
      <c r="G44" s="37"/>
      <c r="H44" s="37"/>
      <c r="I44" s="37"/>
      <c r="J44" s="37"/>
      <c r="U44" s="12" t="s">
        <v>48</v>
      </c>
      <c r="V44" s="5" t="s">
        <v>49</v>
      </c>
      <c r="W44" s="5" t="s">
        <v>402</v>
      </c>
      <c r="X44" s="5" t="s">
        <v>400</v>
      </c>
    </row>
    <row r="45" spans="1:29" ht="16">
      <c r="D45" s="6"/>
      <c r="E45" s="37"/>
      <c r="F45" s="37"/>
      <c r="G45" s="37"/>
      <c r="H45" s="37"/>
      <c r="I45" s="37"/>
      <c r="J45" s="37"/>
      <c r="U45" s="13">
        <v>0</v>
      </c>
      <c r="V45" s="6">
        <f>U45/$B$19</f>
        <v>0</v>
      </c>
      <c r="W45" s="6">
        <f>X45*$B$22</f>
        <v>4.9546000000000007E-2</v>
      </c>
      <c r="X45" s="6">
        <v>0.35389999999999999</v>
      </c>
    </row>
    <row r="46" spans="1:29" ht="16">
      <c r="A46" s="5" t="s">
        <v>48</v>
      </c>
      <c r="B46" s="5" t="s">
        <v>49</v>
      </c>
      <c r="C46" s="5" t="s">
        <v>402</v>
      </c>
      <c r="D46" s="5" t="s">
        <v>400</v>
      </c>
      <c r="E46" s="37"/>
      <c r="F46" s="37"/>
      <c r="G46" s="37"/>
      <c r="H46" s="37"/>
      <c r="I46" s="37"/>
      <c r="J46" s="37"/>
      <c r="U46" s="13">
        <v>8</v>
      </c>
      <c r="V46" s="6">
        <f t="shared" ref="V46:V51" si="9">U46/$B$19</f>
        <v>32</v>
      </c>
      <c r="W46" s="6">
        <f t="shared" ref="W46:W51" si="10">X46*$B$22</f>
        <v>0.11940600000000001</v>
      </c>
      <c r="X46" s="6">
        <v>0.85289999999999999</v>
      </c>
    </row>
    <row r="47" spans="1:29" ht="16">
      <c r="A47" s="6">
        <v>0</v>
      </c>
      <c r="B47" s="6">
        <f>A47/$B$19</f>
        <v>0</v>
      </c>
      <c r="C47" s="6">
        <f>D47*$B$22</f>
        <v>4.1579999999999999E-2</v>
      </c>
      <c r="D47" s="6">
        <v>0.29699999999999999</v>
      </c>
      <c r="E47" s="37"/>
      <c r="F47" s="37"/>
      <c r="G47" s="37"/>
      <c r="H47" s="37"/>
      <c r="I47" s="37"/>
      <c r="J47" s="37"/>
      <c r="U47" s="13">
        <v>11</v>
      </c>
      <c r="V47" s="6">
        <f t="shared" si="9"/>
        <v>44</v>
      </c>
      <c r="W47" s="6">
        <f t="shared" si="10"/>
        <v>4.9546000000000007E-2</v>
      </c>
      <c r="X47" s="6">
        <v>0.35389999999999999</v>
      </c>
    </row>
    <row r="48" spans="1:29" ht="16">
      <c r="A48" s="6">
        <v>6</v>
      </c>
      <c r="B48" s="6">
        <f t="shared" ref="B48:B53" si="11">A48/$B$19</f>
        <v>24</v>
      </c>
      <c r="C48" s="6">
        <f t="shared" ref="C48:C55" si="12">D48*$B$22</f>
        <v>9.4360000000000013E-2</v>
      </c>
      <c r="D48" s="6">
        <v>0.67400000000000004</v>
      </c>
      <c r="U48" s="13">
        <v>13</v>
      </c>
      <c r="V48" s="6">
        <f t="shared" si="9"/>
        <v>52</v>
      </c>
      <c r="W48" s="6">
        <f t="shared" si="10"/>
        <v>0.11940600000000001</v>
      </c>
      <c r="X48" s="6">
        <v>0.85289999999999999</v>
      </c>
    </row>
    <row r="49" spans="1:24" ht="16">
      <c r="A49" s="6">
        <v>8</v>
      </c>
      <c r="B49" s="6">
        <f t="shared" si="11"/>
        <v>32</v>
      </c>
      <c r="C49" s="6">
        <f t="shared" si="12"/>
        <v>0.14280000000000001</v>
      </c>
      <c r="D49" s="6">
        <v>1.02</v>
      </c>
      <c r="U49" s="13">
        <v>19</v>
      </c>
      <c r="V49" s="6">
        <f t="shared" si="9"/>
        <v>76</v>
      </c>
      <c r="W49" s="6">
        <f t="shared" si="10"/>
        <v>0.14555800000000002</v>
      </c>
      <c r="X49" s="6">
        <v>1.0397000000000001</v>
      </c>
    </row>
    <row r="50" spans="1:24" ht="16">
      <c r="A50" s="6">
        <v>11</v>
      </c>
      <c r="B50" s="6">
        <f t="shared" si="11"/>
        <v>44</v>
      </c>
      <c r="C50" s="6">
        <f t="shared" si="12"/>
        <v>9.4360000000000013E-2</v>
      </c>
      <c r="D50" s="6">
        <v>0.67400000000000004</v>
      </c>
      <c r="U50" s="13">
        <v>21</v>
      </c>
      <c r="V50" s="6">
        <f t="shared" si="9"/>
        <v>84</v>
      </c>
      <c r="W50" s="6">
        <f t="shared" si="10"/>
        <v>0.11940600000000001</v>
      </c>
      <c r="X50" s="6">
        <v>0.85289999999999999</v>
      </c>
    </row>
    <row r="51" spans="1:24" ht="16">
      <c r="A51" s="6">
        <v>18</v>
      </c>
      <c r="B51" s="6">
        <f t="shared" si="11"/>
        <v>72</v>
      </c>
      <c r="C51" s="6">
        <f t="shared" si="12"/>
        <v>0.14280000000000001</v>
      </c>
      <c r="D51" s="6">
        <v>1.02</v>
      </c>
      <c r="U51" s="13">
        <v>22</v>
      </c>
      <c r="V51" s="6">
        <f t="shared" si="9"/>
        <v>88</v>
      </c>
      <c r="W51" s="6">
        <f t="shared" si="10"/>
        <v>4.9546000000000007E-2</v>
      </c>
      <c r="X51" s="6">
        <v>0.35389999999999999</v>
      </c>
    </row>
    <row r="52" spans="1:24" ht="16">
      <c r="A52" s="6">
        <v>21</v>
      </c>
      <c r="B52" s="6">
        <f t="shared" si="11"/>
        <v>84</v>
      </c>
      <c r="C52" s="6">
        <f t="shared" si="12"/>
        <v>9.4360000000000013E-2</v>
      </c>
      <c r="D52" s="6">
        <v>0.67400000000000004</v>
      </c>
      <c r="U52" s="13" t="s">
        <v>403</v>
      </c>
      <c r="V52" t="s">
        <v>405</v>
      </c>
      <c r="W52" s="6">
        <f>X52*$B$22</f>
        <v>9.8000000000000007</v>
      </c>
      <c r="X52" s="6">
        <f>40+30</f>
        <v>70</v>
      </c>
    </row>
    <row r="53" spans="1:24" ht="16">
      <c r="A53" s="6">
        <v>22</v>
      </c>
      <c r="B53" s="6">
        <f t="shared" si="11"/>
        <v>88</v>
      </c>
      <c r="C53" s="6">
        <f t="shared" si="12"/>
        <v>4.1579999999999999E-2</v>
      </c>
      <c r="D53" s="6">
        <v>0.29699999999999999</v>
      </c>
      <c r="U53" s="13" t="s">
        <v>404</v>
      </c>
      <c r="V53" t="s">
        <v>405</v>
      </c>
      <c r="W53" s="6">
        <f>X53*$B$22</f>
        <v>0.32131147540983607</v>
      </c>
      <c r="X53" s="6">
        <f>X52/$B$21</f>
        <v>2.2950819672131146</v>
      </c>
    </row>
    <row r="54" spans="1:24" ht="16">
      <c r="A54" s="6" t="s">
        <v>403</v>
      </c>
      <c r="B54" t="s">
        <v>405</v>
      </c>
      <c r="C54" s="6">
        <f t="shared" si="12"/>
        <v>9.8000000000000007</v>
      </c>
      <c r="D54" s="6">
        <f>42+28</f>
        <v>70</v>
      </c>
    </row>
    <row r="55" spans="1:24" ht="15.75" customHeight="1">
      <c r="A55" s="6" t="s">
        <v>404</v>
      </c>
      <c r="B55" t="s">
        <v>405</v>
      </c>
      <c r="C55" s="6">
        <f t="shared" si="12"/>
        <v>0.32131147540983607</v>
      </c>
      <c r="D55" s="6">
        <f>D54/$B$21</f>
        <v>2.2950819672131146</v>
      </c>
    </row>
  </sheetData>
  <mergeCells count="13">
    <mergeCell ref="O16:O17"/>
    <mergeCell ref="U12:X12"/>
    <mergeCell ref="B1:E1"/>
    <mergeCell ref="L1:N1"/>
    <mergeCell ref="A3:D3"/>
    <mergeCell ref="L3:N3"/>
    <mergeCell ref="L8:N8"/>
    <mergeCell ref="O7:O8"/>
    <mergeCell ref="U13:V13"/>
    <mergeCell ref="W13:X13"/>
    <mergeCell ref="A12:D12"/>
    <mergeCell ref="V1:X1"/>
    <mergeCell ref="U3:X3"/>
  </mergeCells>
  <hyperlinks>
    <hyperlink ref="B1" r:id="rId1" xr:uid="{F89D017F-5925-4740-8203-B79CAE7DE157}"/>
    <hyperlink ref="L1" r:id="rId2" xr:uid="{6A2E57F2-9716-1343-B51A-F6FC95846074}"/>
    <hyperlink ref="V1" r:id="rId3" xr:uid="{1547FE4E-4EA7-544B-8B6E-547AE23DCCE1}"/>
    <hyperlink ref="B28" r:id="rId4" display="Option 1: Large-scale Utilities, 1-10 kV, Time varying charge, in the unit of Yuan/kWh, Shanghai state grid_x0009__x0009__x0009_" xr:uid="{A6E2F78E-5B52-2740-A54B-92DF3B2BA060}"/>
    <hyperlink ref="G28" r:id="rId5" display="Option 1: Large-scale Utilities, 1-10 kV, Time varying charge, in the unit of Yuan/kWh, Shanghai state grid_x0009__x0009__x0009_" xr:uid="{1D87FD2E-F631-3F4C-9CAC-E8E61A3EFE06}"/>
    <hyperlink ref="L28" r:id="rId6" xr:uid="{4A76B086-F3CF-C147-A4D6-A6016851CF88}"/>
    <hyperlink ref="Q28" r:id="rId7" display="Option 1: Large-scale Utilities, 1-10kV, Time varying charge, in the unit of Yuan/kWh, Jiangsu state grid" xr:uid="{7BF548CE-2C50-7044-A907-A791F35FEF23}"/>
    <hyperlink ref="V28" r:id="rId8" xr:uid="{7D2B1832-6DE5-9147-8165-45ED7BBE837B}"/>
    <hyperlink ref="AA28" r:id="rId9" display="Option 1: Large-scale Utilities, 1-10kV, Time varying charge, in the unit of Yuan/kWh, Zhejiang state grid" xr:uid="{6D105B42-EA92-F646-A3F1-F0B7A7B638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57C06-7605-E14B-AA71-45DE1E2BF8A2}">
  <dimension ref="A1:AP1007"/>
  <sheetViews>
    <sheetView zoomScale="150" workbookViewId="0">
      <selection activeCell="AO18" sqref="AO18"/>
    </sheetView>
  </sheetViews>
  <sheetFormatPr baseColWidth="10" defaultRowHeight="16"/>
  <sheetData>
    <row r="1" spans="1:41">
      <c r="A1" s="5" t="s">
        <v>28</v>
      </c>
      <c r="B1" s="6">
        <v>0.25</v>
      </c>
      <c r="C1" s="6"/>
      <c r="D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41">
      <c r="A2" s="5" t="s">
        <v>29</v>
      </c>
      <c r="B2" s="6">
        <v>96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4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41">
      <c r="A4" s="5" t="s">
        <v>30</v>
      </c>
      <c r="B4" s="6" t="s">
        <v>31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D4" s="5" t="s">
        <v>30</v>
      </c>
      <c r="AE4" s="6" t="s">
        <v>61</v>
      </c>
      <c r="AM4" s="5" t="s">
        <v>30</v>
      </c>
      <c r="AN4" s="6" t="s">
        <v>68</v>
      </c>
    </row>
    <row r="5" spans="1:41">
      <c r="A5" s="5" t="s">
        <v>32</v>
      </c>
      <c r="B5" s="1" t="s">
        <v>33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10" t="s">
        <v>32</v>
      </c>
      <c r="AE5" s="1" t="s">
        <v>60</v>
      </c>
      <c r="AM5" s="10" t="s">
        <v>32</v>
      </c>
      <c r="AN5" s="1" t="s">
        <v>69</v>
      </c>
    </row>
    <row r="6" spans="1:4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4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41">
      <c r="A8" s="7" t="s">
        <v>34</v>
      </c>
      <c r="B8" s="6"/>
      <c r="C8" s="6"/>
      <c r="D8" s="6"/>
      <c r="E8" s="7" t="s">
        <v>35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41">
      <c r="A9" s="5" t="s">
        <v>36</v>
      </c>
      <c r="B9" s="1" t="s">
        <v>37</v>
      </c>
      <c r="C9" s="6"/>
      <c r="D9" s="6"/>
      <c r="E9" s="5" t="s">
        <v>36</v>
      </c>
      <c r="F9" s="1" t="s">
        <v>38</v>
      </c>
      <c r="G9" s="6"/>
      <c r="H9" s="6"/>
      <c r="I9" s="5" t="s">
        <v>36</v>
      </c>
      <c r="J9" s="1" t="s">
        <v>39</v>
      </c>
      <c r="K9" s="6"/>
      <c r="L9" s="6"/>
      <c r="M9" s="5" t="s">
        <v>36</v>
      </c>
      <c r="N9" s="1" t="s">
        <v>40</v>
      </c>
      <c r="O9" s="6"/>
      <c r="P9" s="6"/>
      <c r="Q9" s="5" t="s">
        <v>36</v>
      </c>
      <c r="R9" s="1" t="s">
        <v>41</v>
      </c>
      <c r="S9" s="6"/>
      <c r="T9" s="6"/>
      <c r="U9" s="5" t="s">
        <v>36</v>
      </c>
      <c r="V9" s="1" t="s">
        <v>42</v>
      </c>
      <c r="W9" s="6"/>
      <c r="X9" s="6"/>
      <c r="Y9" s="5" t="s">
        <v>36</v>
      </c>
      <c r="Z9" s="9" t="s">
        <v>59</v>
      </c>
      <c r="AA9" s="6"/>
      <c r="AB9" s="6"/>
      <c r="AC9" s="5"/>
      <c r="AD9" s="5" t="s">
        <v>36</v>
      </c>
      <c r="AE9" s="9" t="s">
        <v>62</v>
      </c>
      <c r="AF9" s="6"/>
      <c r="AH9" s="5" t="s">
        <v>36</v>
      </c>
      <c r="AI9" s="9" t="s">
        <v>67</v>
      </c>
      <c r="AJ9" s="6"/>
      <c r="AM9" s="5" t="s">
        <v>36</v>
      </c>
      <c r="AN9" s="9" t="s">
        <v>71</v>
      </c>
      <c r="AO9" s="6"/>
    </row>
    <row r="10" spans="1:41">
      <c r="A10" s="5" t="s">
        <v>43</v>
      </c>
      <c r="B10" s="8">
        <v>44105</v>
      </c>
      <c r="C10" s="6"/>
      <c r="D10" s="6"/>
      <c r="E10" s="5" t="s">
        <v>43</v>
      </c>
      <c r="F10" s="8">
        <v>44105</v>
      </c>
      <c r="G10" s="6"/>
      <c r="H10" s="6"/>
      <c r="I10" s="5" t="s">
        <v>43</v>
      </c>
      <c r="J10" s="8">
        <v>44105</v>
      </c>
      <c r="K10" s="6"/>
      <c r="L10" s="6"/>
      <c r="M10" s="5" t="s">
        <v>43</v>
      </c>
      <c r="N10" s="8">
        <v>44105</v>
      </c>
      <c r="O10" s="6"/>
      <c r="P10" s="6"/>
      <c r="Q10" s="5" t="s">
        <v>43</v>
      </c>
      <c r="R10" s="8">
        <v>44105</v>
      </c>
      <c r="S10" s="6"/>
      <c r="T10" s="6"/>
      <c r="U10" s="5" t="s">
        <v>43</v>
      </c>
      <c r="V10" s="8">
        <v>44105</v>
      </c>
      <c r="W10" s="6"/>
      <c r="X10" s="6"/>
      <c r="Y10" s="5" t="s">
        <v>43</v>
      </c>
      <c r="Z10" s="8">
        <v>43525</v>
      </c>
      <c r="AA10" s="6"/>
      <c r="AB10" s="6"/>
      <c r="AC10" s="5"/>
      <c r="AD10" s="5" t="s">
        <v>43</v>
      </c>
      <c r="AE10" s="8">
        <v>44256</v>
      </c>
      <c r="AF10" s="6"/>
      <c r="AH10" s="5" t="s">
        <v>43</v>
      </c>
      <c r="AI10" s="8">
        <v>44256</v>
      </c>
      <c r="AJ10" s="6"/>
      <c r="AM10" s="5" t="s">
        <v>43</v>
      </c>
      <c r="AN10" s="8">
        <v>44256</v>
      </c>
      <c r="AO10" s="6"/>
    </row>
    <row r="11" spans="1:41">
      <c r="A11" s="5" t="s">
        <v>44</v>
      </c>
      <c r="B11" s="6" t="s">
        <v>45</v>
      </c>
      <c r="C11" s="6"/>
      <c r="D11" s="6"/>
      <c r="E11" s="5" t="s">
        <v>44</v>
      </c>
      <c r="F11" s="6" t="s">
        <v>45</v>
      </c>
      <c r="G11" s="6"/>
      <c r="H11" s="6"/>
      <c r="I11" s="5" t="s">
        <v>44</v>
      </c>
      <c r="J11" s="6" t="s">
        <v>45</v>
      </c>
      <c r="K11" s="6"/>
      <c r="L11" s="6"/>
      <c r="M11" s="5" t="s">
        <v>44</v>
      </c>
      <c r="N11" s="6" t="s">
        <v>45</v>
      </c>
      <c r="O11" s="6"/>
      <c r="P11" s="6"/>
      <c r="Q11" s="5" t="s">
        <v>44</v>
      </c>
      <c r="R11" s="6" t="s">
        <v>45</v>
      </c>
      <c r="S11" s="6"/>
      <c r="T11" s="6"/>
      <c r="U11" s="5" t="s">
        <v>44</v>
      </c>
      <c r="V11" s="6" t="s">
        <v>45</v>
      </c>
      <c r="W11" s="6"/>
      <c r="X11" s="6"/>
      <c r="Y11" s="5" t="s">
        <v>44</v>
      </c>
      <c r="Z11" s="6" t="s">
        <v>45</v>
      </c>
      <c r="AA11" s="6"/>
      <c r="AB11" s="6"/>
      <c r="AC11" s="5"/>
      <c r="AD11" s="5" t="s">
        <v>44</v>
      </c>
      <c r="AE11" s="6" t="s">
        <v>45</v>
      </c>
      <c r="AF11" s="6"/>
      <c r="AH11" s="5" t="s">
        <v>44</v>
      </c>
      <c r="AI11" s="6" t="s">
        <v>45</v>
      </c>
      <c r="AJ11" s="6"/>
      <c r="AM11" s="5" t="s">
        <v>44</v>
      </c>
      <c r="AN11" s="6" t="s">
        <v>45</v>
      </c>
      <c r="AO11" s="6"/>
    </row>
    <row r="12" spans="1:41">
      <c r="A12" s="5" t="s">
        <v>46</v>
      </c>
      <c r="B12" s="6" t="s">
        <v>47</v>
      </c>
      <c r="C12" s="6"/>
      <c r="D12" s="6"/>
      <c r="E12" s="5" t="s">
        <v>46</v>
      </c>
      <c r="F12" s="6" t="s">
        <v>47</v>
      </c>
      <c r="G12" s="6"/>
      <c r="H12" s="6"/>
      <c r="I12" s="5" t="s">
        <v>46</v>
      </c>
      <c r="J12" s="6" t="s">
        <v>47</v>
      </c>
      <c r="K12" s="6"/>
      <c r="L12" s="6"/>
      <c r="M12" s="5" t="s">
        <v>46</v>
      </c>
      <c r="N12" s="6" t="s">
        <v>47</v>
      </c>
      <c r="O12" s="6"/>
      <c r="P12" s="6"/>
      <c r="Q12" s="5" t="s">
        <v>46</v>
      </c>
      <c r="R12" s="6" t="s">
        <v>47</v>
      </c>
      <c r="S12" s="6"/>
      <c r="T12" s="6"/>
      <c r="U12" s="5" t="s">
        <v>46</v>
      </c>
      <c r="V12" s="6" t="s">
        <v>47</v>
      </c>
      <c r="W12" s="6"/>
      <c r="X12" s="6"/>
      <c r="Y12" s="5" t="s">
        <v>46</v>
      </c>
      <c r="Z12" s="6" t="s">
        <v>58</v>
      </c>
      <c r="AA12" s="6"/>
      <c r="AB12" s="6"/>
      <c r="AC12" s="5"/>
      <c r="AD12" s="5" t="s">
        <v>46</v>
      </c>
      <c r="AE12" s="6" t="s">
        <v>63</v>
      </c>
      <c r="AF12" s="6"/>
      <c r="AH12" s="5" t="s">
        <v>46</v>
      </c>
      <c r="AI12" s="6" t="s">
        <v>66</v>
      </c>
      <c r="AJ12" s="6"/>
      <c r="AM12" s="5" t="s">
        <v>46</v>
      </c>
      <c r="AN12" s="6" t="s">
        <v>70</v>
      </c>
      <c r="AO12" s="6"/>
    </row>
    <row r="13" spans="1:4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H13" s="6"/>
      <c r="AI13" s="6"/>
      <c r="AJ13" s="6"/>
      <c r="AM13" s="6"/>
      <c r="AN13" s="6"/>
      <c r="AO13" s="6"/>
    </row>
    <row r="14" spans="1:41">
      <c r="A14" s="5" t="s">
        <v>48</v>
      </c>
      <c r="B14" s="5" t="s">
        <v>49</v>
      </c>
      <c r="C14" s="5" t="s">
        <v>50</v>
      </c>
      <c r="D14" s="6"/>
      <c r="E14" s="5" t="s">
        <v>48</v>
      </c>
      <c r="F14" s="5" t="s">
        <v>49</v>
      </c>
      <c r="G14" s="5" t="s">
        <v>51</v>
      </c>
      <c r="H14" s="6"/>
      <c r="I14" s="5" t="s">
        <v>48</v>
      </c>
      <c r="J14" s="5" t="s">
        <v>49</v>
      </c>
      <c r="K14" s="5" t="s">
        <v>51</v>
      </c>
      <c r="L14" s="6"/>
      <c r="M14" s="5" t="s">
        <v>48</v>
      </c>
      <c r="N14" s="5" t="s">
        <v>49</v>
      </c>
      <c r="O14" s="5" t="s">
        <v>52</v>
      </c>
      <c r="P14" s="6"/>
      <c r="Q14" s="5" t="s">
        <v>48</v>
      </c>
      <c r="R14" s="5" t="s">
        <v>49</v>
      </c>
      <c r="S14" s="5" t="s">
        <v>51</v>
      </c>
      <c r="T14" s="6"/>
      <c r="U14" s="5" t="s">
        <v>48</v>
      </c>
      <c r="V14" s="5" t="s">
        <v>49</v>
      </c>
      <c r="W14" s="5" t="s">
        <v>51</v>
      </c>
      <c r="X14" s="6"/>
      <c r="Y14" s="5" t="s">
        <v>48</v>
      </c>
      <c r="Z14" s="5" t="s">
        <v>49</v>
      </c>
      <c r="AA14" s="5" t="s">
        <v>51</v>
      </c>
      <c r="AB14" s="6"/>
      <c r="AC14" s="5"/>
      <c r="AD14" s="5" t="s">
        <v>48</v>
      </c>
      <c r="AE14" s="5" t="s">
        <v>49</v>
      </c>
      <c r="AF14" s="5" t="s">
        <v>64</v>
      </c>
      <c r="AH14" s="5" t="s">
        <v>48</v>
      </c>
      <c r="AI14" s="5" t="s">
        <v>49</v>
      </c>
      <c r="AJ14" s="5" t="s">
        <v>64</v>
      </c>
      <c r="AM14" s="5" t="s">
        <v>48</v>
      </c>
      <c r="AN14" s="5" t="s">
        <v>49</v>
      </c>
      <c r="AO14" s="5" t="s">
        <v>51</v>
      </c>
    </row>
    <row r="15" spans="1:41">
      <c r="A15" s="6">
        <v>0</v>
      </c>
      <c r="B15" s="6">
        <v>0</v>
      </c>
      <c r="C15" s="6">
        <v>0.22255</v>
      </c>
      <c r="D15" s="6"/>
      <c r="E15" s="6">
        <v>0</v>
      </c>
      <c r="F15" s="6">
        <v>0</v>
      </c>
      <c r="G15" s="6">
        <v>0.16835</v>
      </c>
      <c r="H15" s="6"/>
      <c r="I15" s="6">
        <v>0</v>
      </c>
      <c r="J15" s="6">
        <v>0</v>
      </c>
      <c r="K15" s="6">
        <v>9.5409999999999995E-2</v>
      </c>
      <c r="L15" s="6"/>
      <c r="M15" s="6">
        <v>0</v>
      </c>
      <c r="N15" s="6">
        <v>0</v>
      </c>
      <c r="O15" s="6">
        <v>0.10671</v>
      </c>
      <c r="P15" s="6"/>
      <c r="Q15" s="6">
        <v>0</v>
      </c>
      <c r="R15" s="6">
        <v>0</v>
      </c>
      <c r="S15" s="6">
        <v>0.16089999999999999</v>
      </c>
      <c r="T15" s="6"/>
      <c r="U15" s="6">
        <v>0</v>
      </c>
      <c r="V15" s="6">
        <v>0</v>
      </c>
      <c r="W15" s="6">
        <v>9.5409999999999995E-2</v>
      </c>
      <c r="X15" s="6"/>
      <c r="Y15" s="6">
        <v>0</v>
      </c>
      <c r="Z15" s="6">
        <v>0</v>
      </c>
      <c r="AA15" s="6">
        <f xml:space="preserve"> 0.081+0.06705</f>
        <v>0.14805000000000001</v>
      </c>
      <c r="AB15" s="6"/>
      <c r="AC15" s="6"/>
      <c r="AD15" s="6">
        <v>0</v>
      </c>
      <c r="AE15" s="6">
        <f>AD15/$B$1</f>
        <v>0</v>
      </c>
      <c r="AF15" s="6">
        <v>0.13253999999999999</v>
      </c>
      <c r="AH15" s="6">
        <v>0</v>
      </c>
      <c r="AI15" s="6">
        <f>AH15/$B$1</f>
        <v>0</v>
      </c>
      <c r="AJ15" s="6">
        <v>0.12651000000000001</v>
      </c>
      <c r="AM15" s="6">
        <v>0</v>
      </c>
      <c r="AN15" s="6">
        <f>AM15/$B$1</f>
        <v>0</v>
      </c>
      <c r="AO15" s="6">
        <v>0.11</v>
      </c>
    </row>
    <row r="16" spans="1:41">
      <c r="A16" s="6"/>
      <c r="B16" s="6"/>
      <c r="C16" s="6"/>
      <c r="D16" s="6"/>
      <c r="E16" s="6">
        <v>16</v>
      </c>
      <c r="F16" s="6">
        <v>64</v>
      </c>
      <c r="G16" s="6">
        <v>0.44944000000000001</v>
      </c>
      <c r="H16" s="6"/>
      <c r="I16" s="6">
        <v>16</v>
      </c>
      <c r="J16" s="6">
        <v>64</v>
      </c>
      <c r="K16" s="6">
        <v>0.15851999999999999</v>
      </c>
      <c r="L16" s="6"/>
      <c r="M16" s="6">
        <v>1</v>
      </c>
      <c r="N16" s="6">
        <v>4</v>
      </c>
      <c r="O16" s="6">
        <v>0.10682</v>
      </c>
      <c r="P16" s="6"/>
      <c r="Q16" s="6">
        <v>16</v>
      </c>
      <c r="R16" s="6">
        <v>64</v>
      </c>
      <c r="S16" s="6">
        <v>0.43872</v>
      </c>
      <c r="T16" s="6"/>
      <c r="U16" s="6">
        <v>16</v>
      </c>
      <c r="V16" s="6">
        <v>64</v>
      </c>
      <c r="W16" s="6">
        <v>0.15851999999999999</v>
      </c>
      <c r="X16" s="6"/>
      <c r="Y16" s="6">
        <v>16</v>
      </c>
      <c r="Z16" s="6">
        <v>64</v>
      </c>
      <c r="AA16" s="6">
        <f>0.23202+0.31966</f>
        <v>0.55167999999999995</v>
      </c>
      <c r="AB16" s="6"/>
      <c r="AC16" s="6"/>
      <c r="AD16" s="6">
        <v>9</v>
      </c>
      <c r="AE16" s="6">
        <f>AD16/$B$1</f>
        <v>36</v>
      </c>
      <c r="AF16" s="6">
        <v>0.10588</v>
      </c>
      <c r="AH16" s="6">
        <v>9</v>
      </c>
      <c r="AI16" s="6">
        <f>AH16/$B$1</f>
        <v>36</v>
      </c>
      <c r="AJ16" s="6">
        <v>0.10324</v>
      </c>
      <c r="AM16" s="6">
        <v>6</v>
      </c>
      <c r="AN16" s="6">
        <f>AM16/$B$1</f>
        <v>24</v>
      </c>
      <c r="AO16" s="6">
        <v>0.19</v>
      </c>
    </row>
    <row r="17" spans="1:42">
      <c r="A17" s="5" t="s">
        <v>48</v>
      </c>
      <c r="B17" s="5" t="s">
        <v>49</v>
      </c>
      <c r="C17" s="5" t="s">
        <v>53</v>
      </c>
      <c r="D17" s="6"/>
      <c r="E17" s="6">
        <v>21</v>
      </c>
      <c r="F17" s="6">
        <v>84</v>
      </c>
      <c r="G17" s="6">
        <v>0.16835</v>
      </c>
      <c r="H17" s="6"/>
      <c r="I17" s="6">
        <v>21</v>
      </c>
      <c r="J17" s="6">
        <v>84</v>
      </c>
      <c r="K17" s="6">
        <v>9.5409999999999995E-2</v>
      </c>
      <c r="L17" s="6"/>
      <c r="M17" s="6">
        <v>2</v>
      </c>
      <c r="N17" s="6">
        <v>8</v>
      </c>
      <c r="O17" s="6">
        <v>0.1069</v>
      </c>
      <c r="P17" s="6"/>
      <c r="Q17" s="6">
        <v>21</v>
      </c>
      <c r="R17" s="6">
        <v>84</v>
      </c>
      <c r="S17" s="6">
        <v>0.16089999999999999</v>
      </c>
      <c r="T17" s="6"/>
      <c r="U17" s="6">
        <v>21</v>
      </c>
      <c r="V17" s="6">
        <v>84</v>
      </c>
      <c r="W17" s="6">
        <v>9.5409999999999995E-2</v>
      </c>
      <c r="X17" s="6"/>
      <c r="Y17" s="6">
        <v>21</v>
      </c>
      <c r="Z17" s="6">
        <v>84</v>
      </c>
      <c r="AA17" s="6">
        <f xml:space="preserve"> 0.081+0.06705</f>
        <v>0.14805000000000001</v>
      </c>
      <c r="AB17" s="6"/>
      <c r="AC17" s="6"/>
      <c r="AD17" s="6">
        <v>14</v>
      </c>
      <c r="AE17" s="6">
        <f>AD17/$B$1</f>
        <v>56</v>
      </c>
      <c r="AF17" s="6">
        <v>0.13253999999999999</v>
      </c>
      <c r="AH17" s="6">
        <v>14</v>
      </c>
      <c r="AI17" s="6">
        <f>AH17/$B$1</f>
        <v>56</v>
      </c>
      <c r="AJ17" s="6">
        <v>0.12651000000000001</v>
      </c>
      <c r="AM17" s="6">
        <v>16</v>
      </c>
      <c r="AN17" s="6">
        <f>AM17/$B$1</f>
        <v>64</v>
      </c>
      <c r="AO17" s="6">
        <v>0.39</v>
      </c>
    </row>
    <row r="18" spans="1:42">
      <c r="A18" s="6">
        <v>0</v>
      </c>
      <c r="B18" s="6">
        <v>0</v>
      </c>
      <c r="C18" s="6">
        <v>0.17457</v>
      </c>
      <c r="D18" s="6"/>
      <c r="E18" s="6"/>
      <c r="F18" s="6"/>
      <c r="G18" s="6"/>
      <c r="H18" s="6"/>
      <c r="I18" s="6" t="s">
        <v>54</v>
      </c>
      <c r="J18" s="6" t="s">
        <v>55</v>
      </c>
      <c r="K18" s="6">
        <v>27.97</v>
      </c>
      <c r="L18" s="6">
        <v>0.93233333330000001</v>
      </c>
      <c r="M18" s="6">
        <v>3</v>
      </c>
      <c r="N18" s="6">
        <v>12</v>
      </c>
      <c r="O18" s="6">
        <v>0.10872</v>
      </c>
      <c r="P18" s="6"/>
      <c r="Q18" s="6"/>
      <c r="R18" s="6"/>
      <c r="S18" s="6"/>
      <c r="T18" s="6"/>
      <c r="U18" s="6" t="s">
        <v>54</v>
      </c>
      <c r="V18" s="6" t="s">
        <v>55</v>
      </c>
      <c r="W18" s="6">
        <v>27.97</v>
      </c>
      <c r="X18" s="6">
        <v>0.93233333330000001</v>
      </c>
      <c r="Y18" s="6"/>
      <c r="Z18" s="6"/>
      <c r="AA18" s="6"/>
      <c r="AB18" s="6"/>
      <c r="AC18" s="6"/>
      <c r="AD18" s="6">
        <v>16</v>
      </c>
      <c r="AE18" s="6">
        <f>AD18/$B$1</f>
        <v>64</v>
      </c>
      <c r="AF18" s="6">
        <v>0.32455000000000001</v>
      </c>
      <c r="AH18" s="6">
        <v>16</v>
      </c>
      <c r="AI18" s="6">
        <f>AH18/$B$1</f>
        <v>64</v>
      </c>
      <c r="AJ18" s="6">
        <v>0.33973999999999999</v>
      </c>
      <c r="AM18" s="6">
        <v>21</v>
      </c>
      <c r="AN18" s="6">
        <f>AM18/$B$1</f>
        <v>84</v>
      </c>
      <c r="AO18" s="6">
        <v>0.19</v>
      </c>
    </row>
    <row r="19" spans="1:42">
      <c r="A19" s="6"/>
      <c r="B19" s="6"/>
      <c r="C19" s="6"/>
      <c r="D19" s="6"/>
      <c r="E19" s="5" t="s">
        <v>48</v>
      </c>
      <c r="F19" s="5" t="s">
        <v>49</v>
      </c>
      <c r="G19" s="5" t="s">
        <v>56</v>
      </c>
      <c r="H19" s="6"/>
      <c r="I19" s="6"/>
      <c r="J19" s="6"/>
      <c r="K19" s="6"/>
      <c r="L19" s="6"/>
      <c r="M19" s="6">
        <v>4</v>
      </c>
      <c r="N19" s="6">
        <v>16</v>
      </c>
      <c r="O19" s="6">
        <v>0.11311</v>
      </c>
      <c r="P19" s="6"/>
      <c r="Q19" s="5" t="s">
        <v>48</v>
      </c>
      <c r="R19" s="5" t="s">
        <v>49</v>
      </c>
      <c r="S19" s="5" t="s">
        <v>56</v>
      </c>
      <c r="T19" s="6"/>
      <c r="U19" s="6"/>
      <c r="V19" s="6"/>
      <c r="W19" s="6"/>
      <c r="X19" s="6"/>
      <c r="Y19" s="5" t="s">
        <v>48</v>
      </c>
      <c r="Z19" s="5" t="s">
        <v>49</v>
      </c>
      <c r="AA19" s="5" t="s">
        <v>56</v>
      </c>
      <c r="AB19" s="6"/>
      <c r="AC19" s="6"/>
      <c r="AD19" s="6">
        <v>21</v>
      </c>
      <c r="AE19" s="6">
        <f>AD19/$B$1</f>
        <v>84</v>
      </c>
      <c r="AF19" s="6">
        <v>0.13253999999999999</v>
      </c>
      <c r="AH19" s="6">
        <v>21</v>
      </c>
      <c r="AI19" s="6">
        <f>AH19/$B$1</f>
        <v>84</v>
      </c>
      <c r="AJ19" s="6">
        <v>0.12651000000000001</v>
      </c>
      <c r="AM19" s="6"/>
      <c r="AN19" s="6"/>
      <c r="AP19" s="6"/>
    </row>
    <row r="20" spans="1:42">
      <c r="A20" s="6"/>
      <c r="B20" s="6"/>
      <c r="C20" s="6"/>
      <c r="D20" s="6"/>
      <c r="E20" s="6">
        <v>0</v>
      </c>
      <c r="F20" s="6">
        <v>0</v>
      </c>
      <c r="G20" s="6">
        <v>0.15834000000000001</v>
      </c>
      <c r="H20" s="6"/>
      <c r="I20" s="5" t="s">
        <v>48</v>
      </c>
      <c r="J20" s="5" t="s">
        <v>49</v>
      </c>
      <c r="K20" s="5" t="s">
        <v>56</v>
      </c>
      <c r="L20" s="6"/>
      <c r="M20" s="6">
        <v>5</v>
      </c>
      <c r="N20" s="6">
        <v>20</v>
      </c>
      <c r="O20" s="6">
        <v>0.11945</v>
      </c>
      <c r="P20" s="6"/>
      <c r="Q20" s="6">
        <v>0</v>
      </c>
      <c r="R20" s="6">
        <v>0</v>
      </c>
      <c r="S20" s="6">
        <v>0.15282000000000001</v>
      </c>
      <c r="T20" s="6"/>
      <c r="U20" s="5" t="s">
        <v>48</v>
      </c>
      <c r="V20" s="5" t="s">
        <v>49</v>
      </c>
      <c r="W20" s="5" t="s">
        <v>56</v>
      </c>
      <c r="X20" s="6"/>
      <c r="Y20" s="6">
        <v>0</v>
      </c>
      <c r="Z20" s="6">
        <v>0</v>
      </c>
      <c r="AA20" s="6">
        <f xml:space="preserve"> 0.081+0.07674</f>
        <v>0.15773999999999999</v>
      </c>
      <c r="AB20" s="6"/>
      <c r="AC20" s="5"/>
      <c r="AD20" s="6" t="s">
        <v>54</v>
      </c>
      <c r="AE20" s="6" t="s">
        <v>65</v>
      </c>
      <c r="AF20" s="6">
        <v>1.24</v>
      </c>
      <c r="AG20" s="6">
        <f>AF20/30</f>
        <v>4.1333333333333333E-2</v>
      </c>
      <c r="AH20" s="6" t="s">
        <v>54</v>
      </c>
      <c r="AI20" s="6" t="s">
        <v>65</v>
      </c>
      <c r="AJ20" s="6">
        <v>1.91</v>
      </c>
      <c r="AK20" s="6">
        <f>AJ20/30</f>
        <v>6.3666666666666663E-2</v>
      </c>
      <c r="AM20" s="6"/>
      <c r="AN20" s="6"/>
      <c r="AP20" s="6"/>
    </row>
    <row r="21" spans="1:42">
      <c r="A21" s="6"/>
      <c r="B21" s="6"/>
      <c r="C21" s="6"/>
      <c r="D21" s="6"/>
      <c r="E21" s="6">
        <v>8</v>
      </c>
      <c r="F21" s="6">
        <v>32</v>
      </c>
      <c r="G21" s="6">
        <v>0.12656999999999999</v>
      </c>
      <c r="H21" s="6"/>
      <c r="I21" s="6">
        <v>0</v>
      </c>
      <c r="J21" s="6">
        <v>0</v>
      </c>
      <c r="K21" s="6">
        <v>0.10362</v>
      </c>
      <c r="L21" s="6"/>
      <c r="M21" s="6">
        <v>6</v>
      </c>
      <c r="N21" s="6">
        <v>24</v>
      </c>
      <c r="O21" s="6">
        <v>0.10845</v>
      </c>
      <c r="P21" s="6"/>
      <c r="Q21" s="6">
        <v>8</v>
      </c>
      <c r="R21" s="6">
        <v>32</v>
      </c>
      <c r="S21" s="6">
        <v>9.493E-2</v>
      </c>
      <c r="T21" s="6"/>
      <c r="U21" s="6">
        <v>0</v>
      </c>
      <c r="V21" s="6">
        <v>0</v>
      </c>
      <c r="W21" s="6">
        <v>0.10362</v>
      </c>
      <c r="X21" s="6"/>
      <c r="Y21" s="6">
        <v>8</v>
      </c>
      <c r="Z21" s="6">
        <v>32</v>
      </c>
      <c r="AA21" s="6">
        <f xml:space="preserve"> 0.05482 +0.03868</f>
        <v>9.35E-2</v>
      </c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42">
      <c r="A22" s="6"/>
      <c r="B22" s="6"/>
      <c r="C22" s="6"/>
      <c r="D22" s="6"/>
      <c r="E22" s="6">
        <v>16</v>
      </c>
      <c r="F22" s="6">
        <v>64</v>
      </c>
      <c r="G22" s="6">
        <v>0.27677000000000002</v>
      </c>
      <c r="H22" s="6"/>
      <c r="I22" s="6">
        <v>8</v>
      </c>
      <c r="J22" s="6">
        <v>32</v>
      </c>
      <c r="K22" s="6">
        <v>8.4169999999999995E-2</v>
      </c>
      <c r="L22" s="6"/>
      <c r="M22" s="6">
        <v>7</v>
      </c>
      <c r="N22" s="6">
        <v>28</v>
      </c>
      <c r="O22" s="6">
        <v>0.10326</v>
      </c>
      <c r="P22" s="6"/>
      <c r="Q22" s="6">
        <v>16</v>
      </c>
      <c r="R22" s="6">
        <v>64</v>
      </c>
      <c r="S22" s="6">
        <v>0.34627000000000002</v>
      </c>
      <c r="T22" s="6"/>
      <c r="U22" s="6">
        <v>8</v>
      </c>
      <c r="V22" s="6">
        <v>32</v>
      </c>
      <c r="W22" s="6">
        <v>8.4169999999999995E-2</v>
      </c>
      <c r="X22" s="6"/>
      <c r="Y22" s="6">
        <v>16</v>
      </c>
      <c r="Z22" s="6">
        <v>64</v>
      </c>
      <c r="AA22" s="6">
        <f>0.23202+0.12466</f>
        <v>0.35668</v>
      </c>
      <c r="AB22" s="6"/>
      <c r="AC22" s="6"/>
      <c r="AD22" s="5"/>
      <c r="AE22" s="5"/>
      <c r="AF22" s="5"/>
    </row>
    <row r="23" spans="1:42">
      <c r="A23" s="6"/>
      <c r="B23" s="6"/>
      <c r="C23" s="6"/>
      <c r="D23" s="6"/>
      <c r="E23" s="6">
        <v>21</v>
      </c>
      <c r="F23" s="6">
        <v>84</v>
      </c>
      <c r="G23" s="6">
        <v>0.15834000000000001</v>
      </c>
      <c r="H23" s="6"/>
      <c r="I23" s="6">
        <v>16</v>
      </c>
      <c r="J23" s="6">
        <v>64</v>
      </c>
      <c r="K23" s="6">
        <v>0.15304000000000001</v>
      </c>
      <c r="L23" s="6"/>
      <c r="M23" s="6">
        <v>8</v>
      </c>
      <c r="N23" s="6">
        <v>32</v>
      </c>
      <c r="O23" s="6">
        <v>9.9860000000000004E-2</v>
      </c>
      <c r="P23" s="6"/>
      <c r="Q23" s="6">
        <v>21</v>
      </c>
      <c r="R23" s="6">
        <v>84</v>
      </c>
      <c r="S23" s="6">
        <v>0.15282000000000001</v>
      </c>
      <c r="T23" s="6"/>
      <c r="U23" s="6">
        <v>16</v>
      </c>
      <c r="V23" s="6">
        <v>64</v>
      </c>
      <c r="W23" s="6">
        <v>0.15304000000000001</v>
      </c>
      <c r="X23" s="6"/>
      <c r="Y23" s="6">
        <v>21</v>
      </c>
      <c r="Z23" s="6">
        <v>84</v>
      </c>
      <c r="AA23" s="6">
        <f xml:space="preserve"> 0.081+0.07674</f>
        <v>0.15773999999999999</v>
      </c>
      <c r="AB23" s="6"/>
      <c r="AC23" s="6"/>
      <c r="AD23" s="6"/>
      <c r="AE23" s="6"/>
      <c r="AF23" s="6"/>
    </row>
    <row r="24" spans="1:42">
      <c r="A24" s="6"/>
      <c r="B24" s="6"/>
      <c r="C24" s="6"/>
      <c r="D24" s="6"/>
      <c r="E24" s="6"/>
      <c r="F24" s="6"/>
      <c r="G24" s="6"/>
      <c r="H24" s="6"/>
      <c r="I24" s="6">
        <v>21</v>
      </c>
      <c r="J24" s="6">
        <v>84</v>
      </c>
      <c r="K24" s="6">
        <v>0.10362</v>
      </c>
      <c r="L24" s="6"/>
      <c r="M24" s="6">
        <v>9</v>
      </c>
      <c r="N24" s="6">
        <v>36</v>
      </c>
      <c r="O24" s="6">
        <v>9.7780000000000006E-2</v>
      </c>
      <c r="P24" s="6"/>
      <c r="Q24" s="6"/>
      <c r="R24" s="6"/>
      <c r="S24" s="6"/>
      <c r="T24" s="6"/>
      <c r="U24" s="6">
        <v>21</v>
      </c>
      <c r="V24" s="6">
        <v>84</v>
      </c>
      <c r="W24" s="6">
        <v>0.10362</v>
      </c>
      <c r="X24" s="6"/>
      <c r="Y24" s="6"/>
      <c r="Z24" s="6"/>
      <c r="AA24" s="6"/>
      <c r="AB24" s="6"/>
      <c r="AC24" s="6"/>
      <c r="AD24" s="6"/>
      <c r="AE24" s="6"/>
      <c r="AF24" s="6"/>
    </row>
    <row r="25" spans="1:42">
      <c r="A25" s="6"/>
      <c r="B25" s="6"/>
      <c r="C25" s="6"/>
      <c r="D25" s="6"/>
      <c r="E25" s="6"/>
      <c r="F25" s="6"/>
      <c r="G25" s="6"/>
      <c r="H25" s="6"/>
      <c r="I25" s="6" t="s">
        <v>54</v>
      </c>
      <c r="J25" s="6" t="s">
        <v>57</v>
      </c>
      <c r="K25" s="6">
        <v>13.35</v>
      </c>
      <c r="L25" s="6">
        <v>0.44500000000000001</v>
      </c>
      <c r="M25" s="6">
        <v>10</v>
      </c>
      <c r="N25" s="6">
        <v>40</v>
      </c>
      <c r="O25" s="6">
        <v>9.8059999999999994E-2</v>
      </c>
      <c r="P25" s="6"/>
      <c r="Q25" s="6"/>
      <c r="R25" s="6"/>
      <c r="S25" s="6"/>
      <c r="T25" s="6"/>
      <c r="U25" s="6" t="s">
        <v>54</v>
      </c>
      <c r="V25" s="6" t="s">
        <v>57</v>
      </c>
      <c r="W25" s="6">
        <v>13.35</v>
      </c>
      <c r="X25" s="6">
        <v>0.44500000000000001</v>
      </c>
      <c r="Y25" s="6"/>
      <c r="Z25" s="6"/>
      <c r="AA25" s="6"/>
      <c r="AB25" s="6"/>
      <c r="AC25" s="6"/>
      <c r="AD25" s="6"/>
      <c r="AE25" s="6"/>
      <c r="AF25" s="6"/>
    </row>
    <row r="26" spans="1:4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>
        <v>11</v>
      </c>
      <c r="N26" s="6">
        <v>44</v>
      </c>
      <c r="O26" s="6">
        <v>9.9110000000000004E-2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D26" s="6"/>
      <c r="AE26" s="6"/>
      <c r="AF26" s="6"/>
    </row>
    <row r="27" spans="1:4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>
        <v>12</v>
      </c>
      <c r="N27" s="6">
        <v>48</v>
      </c>
      <c r="O27" s="6">
        <v>0.10269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D27" s="6"/>
      <c r="AE27" s="6"/>
      <c r="AF27" s="6"/>
    </row>
    <row r="28" spans="1:4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13</v>
      </c>
      <c r="N28" s="6">
        <v>52</v>
      </c>
      <c r="O28" s="6">
        <v>0.11342000000000001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D28" s="6"/>
      <c r="AE28" s="6"/>
      <c r="AF28" s="6"/>
    </row>
    <row r="29" spans="1:4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>
        <v>14</v>
      </c>
      <c r="N29" s="6">
        <v>56</v>
      </c>
      <c r="O29" s="6">
        <v>0.11541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4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15</v>
      </c>
      <c r="N30" s="6">
        <v>60</v>
      </c>
      <c r="O30" s="6">
        <v>0.11863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4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>
        <v>16</v>
      </c>
      <c r="N31" s="6">
        <v>64</v>
      </c>
      <c r="O31" s="6">
        <v>0.18189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4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>
        <v>17</v>
      </c>
      <c r="N32" s="6">
        <v>68</v>
      </c>
      <c r="O32" s="6">
        <v>4.4770899999999996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18</v>
      </c>
      <c r="N33" s="6">
        <v>72</v>
      </c>
      <c r="O33" s="6">
        <v>4.31473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>
        <v>19</v>
      </c>
      <c r="N34" s="6">
        <v>76</v>
      </c>
      <c r="O34" s="6">
        <v>1.1270199999999999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20</v>
      </c>
      <c r="N35" s="6">
        <v>80</v>
      </c>
      <c r="O35" s="6">
        <v>0.1726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>
        <v>21</v>
      </c>
      <c r="N36" s="6">
        <v>84</v>
      </c>
      <c r="O36" s="6">
        <v>0.12218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>
        <v>22</v>
      </c>
      <c r="N37" s="6">
        <v>88</v>
      </c>
      <c r="O37" s="6">
        <v>0.11151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>
        <v>23</v>
      </c>
      <c r="N38" s="6">
        <v>92</v>
      </c>
      <c r="O38" s="6">
        <v>0.10883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 t="s">
        <v>54</v>
      </c>
      <c r="N39" s="6" t="s">
        <v>55</v>
      </c>
      <c r="O39" s="6">
        <v>13.03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</sheetData>
  <hyperlinks>
    <hyperlink ref="B5" r:id="rId1" display="https://library.sce.com/?10000_group.propertyvalues.property=jcr%3Acontent%2Fmetadata%2Fcq%3Atags&amp;10000_group.propertyvalues.operation=equals&amp;10000_group.propertyvalues.0_values=sce-document-library%3Aregulatory%2Fsce-tariff-books%2Felectric%2Fschedules%2Fgeneral-service-%26-industrial-rates" xr:uid="{0A185ED1-D3E3-584A-B263-FD5C11028F16}"/>
    <hyperlink ref="B9" r:id="rId2" display="https://library.sce.com/content/dam/sce-doclib/public/regulatory/tariff/electric/schedules/general-service-&amp;-industrial-rates/ELECTRIC_SCHEDULES_GS-1.pdf" xr:uid="{12FEC46E-AE81-184F-A238-C218B5323E0C}"/>
    <hyperlink ref="F9" r:id="rId3" display="https://library.sce.com/content/dam/sce-doclib/public/regulatory/tariff/electric/schedules/general-service-&amp;-industrial-rates/ELECTRIC_SCHEDULES_TOU-GS-1.pdf" xr:uid="{BD5B7ECB-3764-684E-8F72-EF648086DE30}"/>
    <hyperlink ref="J9" r:id="rId4" display="https://library.sce.com/content/dam/sce-doclib/public/regulatory/tariff/electric/schedules/general-service-&amp;-industrial-rates/ELECTRIC_SCHEDULES_TOU-GS-1.pdf" xr:uid="{E267D0EA-25BC-DC41-92FD-5580429BB14D}"/>
    <hyperlink ref="N9" r:id="rId5" display="https://library.sce.com/content/dam/sce-doclib/public/regulatory/tariff/electric/schedules/general-service-&amp;-industrial-rates/ELECTRIC_SCHEDULES_TOU-GS-1-RTP.pdf" xr:uid="{4FF1BF2C-AD9E-2845-A271-D76A913180D9}"/>
    <hyperlink ref="R9" r:id="rId6" display="https://library.sce.com/content/dam/sce-doclib/public/regulatory/tariff/electric/schedules/general-service-&amp;-industrial-rates/ELECTRIC_SCHEDULES_TOU-GS-1.pdf" xr:uid="{30F39393-E06A-334E-AB81-0988E59AF61A}"/>
    <hyperlink ref="V9" r:id="rId7" display="https://library.sce.com/content/dam/sce-doclib/public/regulatory/tariff/electric/schedules/general-service-&amp;-industrial-rates/ELECTRIC_SCHEDULES_TOU-GS-1.pdf" xr:uid="{1115D717-E618-C844-B994-F107EEED4519}"/>
    <hyperlink ref="Z9" r:id="rId8" display="https://library.sce.com/content/dam/sce-doclib/public/regulatory/tariff/electric/schedules/general-service-&amp;-industrial-rates/ELECTRIC_SCHEDULES_TOU-EV-8.pdf" xr:uid="{8A4DE4EE-1463-BB4D-A40D-67D373C551D1}"/>
    <hyperlink ref="AE5" r:id="rId9" xr:uid="{DE9EAF5D-7FDB-F84A-B7FB-FDA569BA379F}"/>
    <hyperlink ref="AE9" r:id="rId10" xr:uid="{EEF31279-0776-4044-B443-41D40EF23458}"/>
    <hyperlink ref="AI9" r:id="rId11" xr:uid="{25ED98E5-A02D-8E47-BBFC-49061C18DD72}"/>
    <hyperlink ref="AN5" r:id="rId12" xr:uid="{9DA14E24-F194-F443-9D54-9779B7BA894E}"/>
    <hyperlink ref="AN9" r:id="rId13" xr:uid="{F1B034F6-9EA9-A749-BF81-39B1DB663A8C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scenarios</vt:lpstr>
      <vt:lpstr>vehicle_parameters</vt:lpstr>
      <vt:lpstr>locations</vt:lpstr>
      <vt:lpstr>202207_energy_prices_us</vt:lpstr>
      <vt:lpstr>2022_energy_prices_china</vt:lpstr>
      <vt:lpstr>202010_energy_prices_ca</vt:lpstr>
      <vt:lpstr>mo</vt:lpstr>
      <vt:lpstr>th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Ariss</dc:creator>
  <cp:lastModifiedBy>Rami Ariss</cp:lastModifiedBy>
  <dcterms:created xsi:type="dcterms:W3CDTF">2021-03-17T10:30:06Z</dcterms:created>
  <dcterms:modified xsi:type="dcterms:W3CDTF">2023-09-11T14:40:38Z</dcterms:modified>
</cp:coreProperties>
</file>