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1-svr-2012\Margetts\Fund Management\Regulated Schemes\Clarion\Rebalancing\Rebalancing\"/>
    </mc:Choice>
  </mc:AlternateContent>
  <xr:revisionPtr revIDLastSave="0" documentId="8_{BECE9A6D-D107-4C8E-BDB5-72576A58992B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Rebalancer!$8:$25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Rebalancer!$A$1:$Q$30</definedName>
    <definedName name="VALU_BV">Rebalancer!$I$28</definedName>
    <definedName name="VALU_JC">Rebalancer!$G$28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3" l="1"/>
  <c r="D7" i="3"/>
  <c r="D18" i="3"/>
  <c r="D25" i="3"/>
  <c r="D22" i="3"/>
  <c r="D24" i="3"/>
  <c r="D23" i="3"/>
  <c r="D14" i="3"/>
  <c r="D13" i="3"/>
  <c r="D12" i="3"/>
  <c r="D15" i="3"/>
  <c r="D16" i="3"/>
  <c r="D21" i="3"/>
  <c r="D20" i="3"/>
  <c r="D17" i="3"/>
  <c r="D11" i="3"/>
  <c r="D10" i="3"/>
  <c r="D9" i="3"/>
  <c r="D19" i="3"/>
  <c r="B6" i="1"/>
  <c r="M32" i="3"/>
  <c r="D8" i="3" l="1"/>
  <c r="J39" i="3"/>
  <c r="J55" i="3"/>
  <c r="J52" i="3"/>
  <c r="L51" i="3"/>
  <c r="K51" i="3"/>
  <c r="J51" i="3"/>
  <c r="F51" i="3"/>
  <c r="L50" i="3"/>
  <c r="K50" i="3"/>
  <c r="J50" i="3"/>
  <c r="F50" i="3"/>
  <c r="J49" i="3"/>
  <c r="J48" i="3"/>
  <c r="J47" i="3"/>
  <c r="J46" i="3"/>
  <c r="J45" i="3"/>
  <c r="J44" i="3"/>
  <c r="J43" i="3"/>
  <c r="J38" i="3"/>
  <c r="J37" i="3"/>
  <c r="J36" i="3"/>
  <c r="K30" i="3"/>
  <c r="F28" i="3"/>
  <c r="F30" i="3" s="1" a="1"/>
  <c r="F30" i="3" s="1"/>
  <c r="B4" i="3"/>
  <c r="B3" i="3"/>
  <c r="L1" i="3"/>
  <c r="B14" i="1"/>
  <c r="B12" i="1"/>
  <c r="B5" i="1"/>
  <c r="J7" i="3" l="1"/>
  <c r="J25" i="3"/>
  <c r="J24" i="3"/>
  <c r="J14" i="3"/>
  <c r="J12" i="3"/>
  <c r="J16" i="3"/>
  <c r="J20" i="3"/>
  <c r="J11" i="3"/>
  <c r="J9" i="3"/>
  <c r="J18" i="3"/>
  <c r="J22" i="3"/>
  <c r="J23" i="3"/>
  <c r="J13" i="3"/>
  <c r="J15" i="3"/>
  <c r="J21" i="3"/>
  <c r="J17" i="3"/>
  <c r="J10" i="3"/>
  <c r="J19" i="3"/>
  <c r="J40" i="3"/>
  <c r="J53" i="3"/>
  <c r="M28" i="3"/>
  <c r="O17" i="3" l="1"/>
  <c r="L17" i="3"/>
  <c r="O21" i="3"/>
  <c r="L21" i="3"/>
  <c r="O20" i="3"/>
  <c r="L20" i="3"/>
  <c r="O15" i="3"/>
  <c r="L15" i="3"/>
  <c r="O16" i="3"/>
  <c r="L16" i="3"/>
  <c r="O13" i="3"/>
  <c r="L13" i="3"/>
  <c r="O12" i="3"/>
  <c r="L12" i="3"/>
  <c r="O23" i="3"/>
  <c r="L23" i="3"/>
  <c r="O14" i="3"/>
  <c r="L14" i="3"/>
  <c r="O22" i="3"/>
  <c r="L22" i="3"/>
  <c r="O24" i="3"/>
  <c r="L24" i="3"/>
  <c r="O11" i="3"/>
  <c r="L11" i="3"/>
  <c r="O19" i="3"/>
  <c r="L19" i="3"/>
  <c r="O18" i="3"/>
  <c r="L18" i="3"/>
  <c r="O25" i="3"/>
  <c r="L25" i="3"/>
  <c r="O10" i="3"/>
  <c r="L10" i="3"/>
  <c r="O9" i="3"/>
  <c r="L9" i="3"/>
  <c r="O7" i="3"/>
  <c r="L7" i="3"/>
  <c r="J8" i="3"/>
  <c r="K39" i="3" s="1"/>
  <c r="J56" i="3"/>
  <c r="O28" i="3"/>
  <c r="M33" i="3"/>
  <c r="J28" i="3"/>
  <c r="K52" i="3"/>
  <c r="L45" i="3" l="1"/>
  <c r="K47" i="3"/>
  <c r="K55" i="3"/>
  <c r="O8" i="3"/>
  <c r="L8" i="3"/>
  <c r="F37" i="3"/>
  <c r="K44" i="3"/>
  <c r="K37" i="3"/>
  <c r="I30" i="3"/>
  <c r="B32" i="3" s="1"/>
  <c r="K38" i="3"/>
  <c r="K36" i="3"/>
  <c r="L52" i="3"/>
  <c r="F52" i="3"/>
  <c r="K45" i="3"/>
  <c r="K46" i="3"/>
  <c r="K48" i="3"/>
  <c r="L55" i="3"/>
  <c r="F38" i="3"/>
  <c r="L38" i="3"/>
  <c r="K49" i="3"/>
  <c r="K43" i="3"/>
  <c r="F39" i="3" l="1"/>
  <c r="L32" i="3"/>
  <c r="L33" i="3" s="1"/>
  <c r="L47" i="3"/>
  <c r="L49" i="3"/>
  <c r="F44" i="3"/>
  <c r="L44" i="3"/>
  <c r="L37" i="3"/>
  <c r="F48" i="3"/>
  <c r="F45" i="3"/>
  <c r="L36" i="3"/>
  <c r="K40" i="3"/>
  <c r="K53" i="3"/>
  <c r="F55" i="3"/>
  <c r="L39" i="3"/>
  <c r="F36" i="3"/>
  <c r="G36" i="3" s="1"/>
  <c r="H36" i="3" s="1"/>
  <c r="I36" i="3" s="1"/>
  <c r="L46" i="3"/>
  <c r="F43" i="3"/>
  <c r="F47" i="3"/>
  <c r="F49" i="3"/>
  <c r="L43" i="3"/>
  <c r="L28" i="3"/>
  <c r="F46" i="3"/>
  <c r="L48" i="3"/>
  <c r="F53" i="3" l="1"/>
  <c r="K56" i="3"/>
  <c r="L40" i="3"/>
  <c r="F40" i="3"/>
  <c r="L53" i="3"/>
  <c r="F56" i="3" l="1"/>
  <c r="L5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<sst xmlns="http://schemas.openxmlformats.org/spreadsheetml/2006/main" count="216" uniqueCount="145">
  <si>
    <t>Parms</t>
  </si>
  <si>
    <t>Filters</t>
  </si>
  <si>
    <t>Data Source</t>
  </si>
  <si>
    <t>DIST</t>
  </si>
  <si>
    <t>PARM_Account</t>
  </si>
  <si>
    <t>AG</t>
  </si>
  <si>
    <t>=</t>
  </si>
  <si>
    <t>S:MF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</si>
  <si>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</si>
  <si>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</si>
  <si>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</si>
  <si>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</si>
  <si>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</si>
  <si>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</si>
  <si>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</si>
  <si>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</si>
  <si>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</si>
  <si>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</si>
  <si>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</si>
  <si>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</si>
  <si>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</si>
  <si>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</si>
  <si>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</si>
  <si>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</si>
  <si>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</si>
  <si>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</si>
  <si>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</si>
  <si>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</si>
  <si>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</si>
  <si>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</si>
  <si>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</si>
  <si>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</si>
  <si>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</si>
  <si>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</si>
  <si>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</si>
  <si>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</si>
  <si>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</si>
  <si>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</si>
  <si>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</si>
  <si>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</si>
  <si>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</si>
  <si>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</si>
  <si>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</si>
  <si>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</si>
  <si>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</si>
  <si>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</si>
  <si>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</si>
  <si>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</si>
  <si>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</si>
  <si>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</si>
  <si>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</si>
  <si>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</si>
  <si>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</si>
  <si>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</si>
  <si>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</si>
  <si>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</si>
  <si>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</si>
  <si>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</si>
  <si>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</si>
  <si>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</si>
  <si>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</si>
  <si>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</si>
  <si>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</si>
  <si>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</si>
  <si>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</si>
  <si>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</si>
  <si>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</si>
  <si>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</si>
  <si>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</si>
  <si>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</si>
  <si>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</si>
  <si>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</si>
  <si>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</si>
  <si>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</si>
  <si>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</si>
  <si>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</si>
  <si>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MF</t>
  </si>
  <si>
    <t>ISHARES GBP INDEX-LNK GILTS</t>
  </si>
  <si>
    <t>VANGUARD FTSE UK ALL SHARE INDEX UNIT TRUST ACC</t>
  </si>
  <si>
    <t>ROYAL LONDON STERLING CREDIT Z FUND INCOME</t>
  </si>
  <si>
    <t>ISHARES FTSE UK GILTS 0-5 GBP</t>
  </si>
  <si>
    <t>ISHARES ESG OVERSEAS CORPORATE BOND INDEX FUND(UK)</t>
  </si>
  <si>
    <t>ISHARES JAPAN EQ D ACC</t>
  </si>
  <si>
    <t>FRANKLIN UK EQUITY INCOME FUND W ACC</t>
  </si>
  <si>
    <t>MFM SLATER GROWTH CLASS P ACC</t>
  </si>
  <si>
    <t>HSBC EUROPEAN INDEX C ACC</t>
  </si>
  <si>
    <t>ROYAL LONDON SH TM MMK- Y</t>
  </si>
  <si>
    <t>VANGUARD UK SHORT-TERM BOND INDEX GBP ACC</t>
  </si>
  <si>
    <t>Artemis Corporate Bond Fund I Acc GBP</t>
  </si>
  <si>
    <t>ASI Short Dated Glbl Corp Bond Tracker Fund B Acc</t>
  </si>
  <si>
    <t>FIDELITY INDEX US P ACC</t>
  </si>
  <si>
    <t>X TRACKERS S&amp;P 500 EQUAL WEIGHT UCITS ETF IC (GBP)</t>
  </si>
  <si>
    <t>ALLIANZ UK EQUITY INCOME FUND CLASS E SHARES INCOM</t>
  </si>
  <si>
    <t>ARTEMIS US SMALLER COMPANIES I ACC</t>
  </si>
  <si>
    <t>ISHARES MSCI TARGET UK RE UCITS ETF</t>
  </si>
  <si>
    <t>ABERDEEN ASIA PACIFIC EQUITY ENHANCED INDEX B ACC</t>
  </si>
  <si>
    <t>GBP</t>
  </si>
  <si>
    <t>EUR</t>
  </si>
  <si>
    <t>B1FZSD5</t>
  </si>
  <si>
    <t>B3X7QG6</t>
  </si>
  <si>
    <t>B4W1ZT2</t>
  </si>
  <si>
    <t>B4WXJK7_</t>
  </si>
  <si>
    <t>B58YKH5</t>
  </si>
  <si>
    <t>B6QQ9X9</t>
  </si>
  <si>
    <t>B7DRD63</t>
  </si>
  <si>
    <t>B7T0G90</t>
  </si>
  <si>
    <t>B80QGH2</t>
  </si>
  <si>
    <t>B8XYYQ8 U</t>
  </si>
  <si>
    <t>B9M1BB1</t>
  </si>
  <si>
    <t>BFZ91W5</t>
  </si>
  <si>
    <t>BG08N39</t>
  </si>
  <si>
    <t>BJS8SH1</t>
  </si>
  <si>
    <t>BLNMYC9</t>
  </si>
  <si>
    <t>BMH6XK5</t>
  </si>
  <si>
    <t>BMMV576</t>
  </si>
  <si>
    <t>BRHZ039</t>
  </si>
  <si>
    <t>BRJL7V2</t>
  </si>
  <si>
    <t>IE00B1FZSD53</t>
  </si>
  <si>
    <t>GB00B3X7QG63</t>
  </si>
  <si>
    <t>GB00B4W1ZT22</t>
  </si>
  <si>
    <t>IE00B4WXJK79</t>
  </si>
  <si>
    <t>GB00B58YKH53</t>
  </si>
  <si>
    <t>GB00B6QQ9X96</t>
  </si>
  <si>
    <t>GB00B7DRD638</t>
  </si>
  <si>
    <t>GB00B7T0G907</t>
  </si>
  <si>
    <t>GB00B80QGH28</t>
  </si>
  <si>
    <t>GB00B8XYYQ86</t>
  </si>
  <si>
    <t>IE00B9M1BB17</t>
  </si>
  <si>
    <t>GB00BFZ91W59</t>
  </si>
  <si>
    <t>GB00BG08N399</t>
  </si>
  <si>
    <t>GB00BJS8SH10</t>
  </si>
  <si>
    <t>IE00BLNMYC90</t>
  </si>
  <si>
    <t>GB00BMH6XK58</t>
  </si>
  <si>
    <t>GB00BMMV5766</t>
  </si>
  <si>
    <t>IE00BRHZ0398</t>
  </si>
  <si>
    <t>GB00BRJL7V21</t>
  </si>
  <si>
    <t>CLARION PRUDENCE</t>
  </si>
  <si>
    <t>Bond</t>
  </si>
  <si>
    <t>Broker</t>
  </si>
  <si>
    <t>CIS</t>
  </si>
  <si>
    <t>Japan</t>
  </si>
  <si>
    <t>Europe</t>
  </si>
  <si>
    <t>Property</t>
  </si>
  <si>
    <t>Asia Pacific</t>
  </si>
  <si>
    <t>CIS Critical Instructed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</si>
</sst>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0" fontId="0" fillId="0" borderId="0" xfId="0" applyNumberFormat="1" applyFill="1" applyAlignment="1">
      <alignment horizontal="left"/>
    </xf>
    <xf numFmtId="0" fontId="2" fillId="0" borderId="0" xfId="0" applyFont="1" applyFill="1"/>
  </cellXfs>
  <cellStyles count="2">
    <cellStyle name="Normal" xfId="0" builtinId="0"/>
    <cellStyle name="Normal 2" xfId="1" xr:uid="{00000000-0005-0000-0000-000001000000}"/>
  </cellStyles>
  <dxfs count="21">
    <dxf>
      <font>
        <b/>
      </font>
      <fill>
        <patternFill>
          <bgColor theme="6" tint="0.39994506668294322"/>
        </patternFill>
      </fill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I3" sqref="I3"/>
    </sheetView>
  </sheetViews>
  <sheetFormatPr defaultRowHeight="12.75" x14ac:dyDescent="0.35"/>
  <cols>
    <col min="1" max="1" width="11.265625" bestFit="1" customWidth="1"/>
    <col min="4" max="4" width="14.3984375" bestFit="1" customWidth="1"/>
    <col min="5" max="5" width="10.1328125" bestFit="1" customWidth="1"/>
  </cols>
  <sheetData>
    <row r="1" spans="1:9" x14ac:dyDescent="0.35">
      <c r="D1" t="s">
        <v>0</v>
      </c>
      <c r="G1" t="s">
        <v>1</v>
      </c>
    </row>
    <row r="2" spans="1:9" x14ac:dyDescent="0.35">
      <c r="A2" t="s">
        <v>2</v>
      </c>
      <c r="B2" t="s">
        <v>3</v>
      </c>
      <c r="D2" t="s">
        <v>4</v>
      </c>
      <c r="E2">
        <v>397789</v>
      </c>
      <c r="G2" t="s">
        <v>5</v>
      </c>
      <c r="H2" t="s">
        <v>6</v>
      </c>
      <c r="I2" t="s">
        <v>7</v>
      </c>
    </row>
    <row r="3" spans="1:9" x14ac:dyDescent="0.35">
      <c r="A3" t="s">
        <v>8</v>
      </c>
      <c r="B3" t="s">
        <v>9</v>
      </c>
      <c r="D3" t="s">
        <v>10</v>
      </c>
      <c r="E3" s="2">
        <v>45035</v>
      </c>
      <c r="G3" t="s">
        <v>11</v>
      </c>
      <c r="H3" t="s">
        <v>12</v>
      </c>
      <c r="I3">
        <v>0</v>
      </c>
    </row>
    <row r="5" spans="1:9" x14ac:dyDescent="0.35">
      <c r="A5" t="s">
        <v>13</v>
      </c>
      <c r="B5">
        <f>PARM_Account</f>
        <v>397789</v>
      </c>
    </row>
    <row r="6" spans="1:9" x14ac:dyDescent="0.35">
      <c r="A6" t="s">
        <v>14</v>
      </c>
      <c r="B6" s="1">
        <f>PARM_Date</f>
        <v>45035</v>
      </c>
    </row>
    <row r="7" spans="1:9" x14ac:dyDescent="0.35">
      <c r="A7" t="s">
        <v>15</v>
      </c>
      <c r="B7" t="s">
        <v>16</v>
      </c>
    </row>
    <row r="9" spans="1:9" x14ac:dyDescent="0.35">
      <c r="A9" t="s">
        <v>2</v>
      </c>
      <c r="B9" t="s">
        <v>17</v>
      </c>
    </row>
    <row r="10" spans="1:9" x14ac:dyDescent="0.35">
      <c r="A10" t="s">
        <v>8</v>
      </c>
      <c r="B10" t="s">
        <v>18</v>
      </c>
    </row>
    <row r="12" spans="1:9" x14ac:dyDescent="0.35">
      <c r="A12" t="s">
        <v>13</v>
      </c>
      <c r="B12">
        <f>PARM_Account</f>
        <v>397789</v>
      </c>
    </row>
    <row r="13" spans="1:9" x14ac:dyDescent="0.35">
      <c r="A13" t="s">
        <v>19</v>
      </c>
      <c r="B13" t="s">
        <v>20</v>
      </c>
    </row>
    <row r="14" spans="1:9" x14ac:dyDescent="0.35">
      <c r="A14" t="s">
        <v>14</v>
      </c>
      <c r="B14" s="1">
        <f>PARM_Date</f>
        <v>45035</v>
      </c>
    </row>
    <row r="15" spans="1:9" x14ac:dyDescent="0.35">
      <c r="A15" t="s">
        <v>21</v>
      </c>
      <c r="B15" t="s">
        <v>22</v>
      </c>
    </row>
    <row r="16" spans="1:9" x14ac:dyDescent="0.35">
      <c r="A16" t="s">
        <v>23</v>
      </c>
      <c r="B16" t="s">
        <v>24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35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56"/>
  <sheetViews>
    <sheetView showGridLines="0" tabSelected="1" topLeftCell="A16" zoomScaleNormal="100" workbookViewId="0">
      <selection activeCell="E39" sqref="E39:E53"/>
    </sheetView>
  </sheetViews>
  <sheetFormatPr defaultColWidth="9.1328125" defaultRowHeight="12.75" x14ac:dyDescent="0.35"/>
  <cols>
    <col min="1" max="1" width="8" style="5" customWidth="1"/>
    <col min="2" max="4" width="15.86328125" style="14" customWidth="1"/>
    <col min="5" max="5" width="62.73046875" style="5" customWidth="1"/>
    <col min="6" max="6" width="15.3984375" style="8" customWidth="1"/>
    <col min="7" max="7" width="12.73046875" style="5" hidden="1" customWidth="1"/>
    <col min="8" max="8" width="5.59765625" style="5" hidden="1" customWidth="1"/>
    <col min="9" max="9" width="5.1328125" style="5" hidden="1" customWidth="1"/>
    <col min="10" max="10" width="12" style="6" customWidth="1"/>
    <col min="11" max="11" width="12.86328125" style="6" customWidth="1"/>
    <col min="12" max="12" width="15.59765625" style="21" customWidth="1"/>
    <col min="13" max="13" width="12.73046875" style="7" bestFit="1" customWidth="1"/>
    <col min="14" max="14" width="11.265625" style="21" customWidth="1"/>
    <col min="15" max="15" width="9.1328125" style="5" customWidth="1"/>
    <col min="16" max="16" width="15.1328125" style="5" customWidth="1"/>
    <col min="17" max="17" width="19.86328125" style="5" bestFit="1" customWidth="1"/>
    <col min="18" max="20" width="9.1328125" style="5" customWidth="1"/>
    <col min="21" max="21" width="45.1328125" style="5" bestFit="1" customWidth="1"/>
    <col min="22" max="22" width="9.1328125" style="5" customWidth="1"/>
    <col min="23" max="16384" width="9.1328125" style="5"/>
  </cols>
  <sheetData>
    <row r="1" spans="1:22" ht="26.25" customHeight="1" thickBot="1" x14ac:dyDescent="0.45">
      <c r="B1" s="64" t="s">
        <v>25</v>
      </c>
      <c r="C1" s="60"/>
      <c r="D1" s="60"/>
      <c r="E1" s="60"/>
      <c r="F1" s="60"/>
      <c r="G1" s="60"/>
      <c r="H1" s="60"/>
      <c r="I1" s="60"/>
      <c r="J1" s="60"/>
      <c r="K1" s="51" t="s">
        <v>26</v>
      </c>
      <c r="L1" s="52">
        <f>COUNT(N:N)</f>
        <v>12</v>
      </c>
      <c r="M1" s="50"/>
    </row>
    <row r="2" spans="1:22" ht="13.15" x14ac:dyDescent="0.4">
      <c r="B2" s="64" t="s">
        <v>136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35">
      <c r="B3" s="65" t="str">
        <f>IF(IOControl!E3&lt;1,"",""&amp;TEXT(IOControl!E3,"dd mmm yyyy"))</f>
        <v>19 Apr 2023</v>
      </c>
      <c r="C3" s="60"/>
      <c r="D3" s="60"/>
      <c r="E3" s="60"/>
      <c r="F3" s="60"/>
      <c r="G3" s="60"/>
      <c r="H3" s="60"/>
      <c r="I3" s="60"/>
      <c r="J3" s="60"/>
    </row>
    <row r="4" spans="1:22" ht="13.15" x14ac:dyDescent="0.4">
      <c r="B4" s="54">
        <f>IF(PARM_Account&lt;1,"",PARM_Account)</f>
        <v>397789</v>
      </c>
      <c r="C4" s="54"/>
      <c r="D4" s="54"/>
    </row>
    <row r="5" spans="1:22" x14ac:dyDescent="0.35">
      <c r="U5" s="5" t="s">
        <v>27</v>
      </c>
      <c r="V5" s="14" t="s">
        <v>28</v>
      </c>
    </row>
    <row r="6" spans="1:22" s="9" customFormat="1" ht="25.5" customHeight="1" x14ac:dyDescent="0.4">
      <c r="B6" s="53" t="s">
        <v>29</v>
      </c>
      <c r="C6" s="53" t="s">
        <v>30</v>
      </c>
      <c r="D6" s="53" t="s">
        <v>31</v>
      </c>
      <c r="E6" s="9" t="s">
        <v>32</v>
      </c>
      <c r="F6" s="10" t="s">
        <v>33</v>
      </c>
      <c r="G6" s="9" t="s">
        <v>72</v>
      </c>
      <c r="H6" s="9" t="s">
        <v>73</v>
      </c>
      <c r="J6" s="11" t="s">
        <v>34</v>
      </c>
      <c r="K6" s="11" t="s">
        <v>35</v>
      </c>
      <c r="L6" s="22" t="s">
        <v>36</v>
      </c>
      <c r="N6" s="45" t="s">
        <v>37</v>
      </c>
      <c r="O6" s="22" t="s">
        <v>38</v>
      </c>
      <c r="P6" s="55" t="s">
        <v>74</v>
      </c>
      <c r="Q6" s="55" t="s">
        <v>75</v>
      </c>
      <c r="U6" s="15" t="s">
        <v>39</v>
      </c>
      <c r="V6" s="14" t="s">
        <v>40</v>
      </c>
    </row>
    <row r="7" spans="1:22" x14ac:dyDescent="0.35">
      <c r="A7" s="5" t="s">
        <v>76</v>
      </c>
      <c r="B7" s="14" t="s">
        <v>116</v>
      </c>
      <c r="C7" s="14" t="s">
        <v>135</v>
      </c>
      <c r="D7" s="48" t="str">
        <f t="shared" ref="D7:D25" si="0">IF(RIGHT(LEFT(C7,11),7)=B7,"OK","CHECK")</f>
        <v>OK</v>
      </c>
      <c r="E7" s="5" t="s">
        <v>95</v>
      </c>
      <c r="F7" s="8">
        <v>483635.01</v>
      </c>
      <c r="G7" s="5">
        <v>267600.8443</v>
      </c>
      <c r="H7" s="5" t="s">
        <v>96</v>
      </c>
      <c r="J7" s="6">
        <f t="shared" ref="J7:J25" si="1">F7/F$30</f>
        <v>3.6020897713653001E-2</v>
      </c>
      <c r="K7" s="3">
        <v>0.04</v>
      </c>
      <c r="L7" s="21">
        <f t="shared" ref="L7:L25" si="2">ROUND((K7-J7)*F$30,-2)</f>
        <v>53400</v>
      </c>
      <c r="N7" s="44"/>
      <c r="O7" s="23">
        <f t="shared" ref="O7:O25" si="3">IF(OR(N7="",F7=""),J7,(F7+N7)/$F$30)</f>
        <v>3.6020897713653001E-2</v>
      </c>
      <c r="P7" s="15" t="s">
        <v>143</v>
      </c>
      <c r="Q7" s="5" t="s">
        <v>139</v>
      </c>
    </row>
    <row r="8" spans="1:22" s="56" customFormat="1" x14ac:dyDescent="0.35">
      <c r="A8" s="56" t="s">
        <v>44</v>
      </c>
      <c r="B8" s="14" t="s">
        <v>98</v>
      </c>
      <c r="C8" s="14" t="s">
        <v>117</v>
      </c>
      <c r="D8" s="48" t="str">
        <f t="shared" si="0"/>
        <v>OK</v>
      </c>
      <c r="E8" s="56" t="s">
        <v>77</v>
      </c>
      <c r="F8" s="8">
        <v>775124.78</v>
      </c>
      <c r="G8" s="56">
        <v>56844</v>
      </c>
      <c r="H8" s="56" t="s">
        <v>96</v>
      </c>
      <c r="J8" s="6">
        <f t="shared" si="1"/>
        <v>5.7730912440970283E-2</v>
      </c>
      <c r="K8" s="3">
        <v>7.0000000000000007E-2</v>
      </c>
      <c r="L8" s="21">
        <f t="shared" si="2"/>
        <v>164700</v>
      </c>
      <c r="M8" s="7"/>
      <c r="N8" s="44">
        <v>175000</v>
      </c>
      <c r="O8" s="23">
        <f t="shared" si="3"/>
        <v>7.076482638340649E-2</v>
      </c>
      <c r="P8" s="15" t="s">
        <v>137</v>
      </c>
      <c r="Q8" s="56" t="s">
        <v>138</v>
      </c>
    </row>
    <row r="9" spans="1:22" s="56" customFormat="1" x14ac:dyDescent="0.35">
      <c r="A9" s="56" t="s">
        <v>76</v>
      </c>
      <c r="B9" s="14" t="s">
        <v>100</v>
      </c>
      <c r="C9" s="14" t="s">
        <v>119</v>
      </c>
      <c r="D9" s="48" t="str">
        <f t="shared" si="0"/>
        <v>OK</v>
      </c>
      <c r="E9" s="56" t="s">
        <v>79</v>
      </c>
      <c r="F9" s="8">
        <v>534774.05000000005</v>
      </c>
      <c r="G9" s="56">
        <v>460615.03320000001</v>
      </c>
      <c r="H9" s="56" t="s">
        <v>96</v>
      </c>
      <c r="J9" s="6">
        <f t="shared" si="1"/>
        <v>3.9829708264846164E-2</v>
      </c>
      <c r="K9" s="3">
        <v>4.4999999999999998E-2</v>
      </c>
      <c r="L9" s="21">
        <f t="shared" si="2"/>
        <v>69400</v>
      </c>
      <c r="M9" s="7"/>
      <c r="N9" s="44">
        <v>90000</v>
      </c>
      <c r="O9" s="23">
        <f t="shared" si="3"/>
        <v>4.6532864006670505E-2</v>
      </c>
      <c r="P9" s="15" t="s">
        <v>137</v>
      </c>
      <c r="Q9" s="56" t="s">
        <v>139</v>
      </c>
    </row>
    <row r="10" spans="1:22" s="56" customFormat="1" x14ac:dyDescent="0.35">
      <c r="A10" s="56" t="s">
        <v>44</v>
      </c>
      <c r="B10" s="14" t="s">
        <v>101</v>
      </c>
      <c r="C10" s="14" t="s">
        <v>120</v>
      </c>
      <c r="D10" s="48" t="str">
        <f t="shared" si="0"/>
        <v>CHECK</v>
      </c>
      <c r="E10" s="56" t="s">
        <v>80</v>
      </c>
      <c r="F10" s="8">
        <v>601748.53</v>
      </c>
      <c r="G10" s="56">
        <v>4795</v>
      </c>
      <c r="H10" s="56" t="s">
        <v>96</v>
      </c>
      <c r="J10" s="6">
        <f t="shared" si="1"/>
        <v>4.4817934600042825E-2</v>
      </c>
      <c r="K10" s="3">
        <v>0.05</v>
      </c>
      <c r="L10" s="21">
        <f t="shared" si="2"/>
        <v>69600</v>
      </c>
      <c r="M10" s="7"/>
      <c r="N10" s="44">
        <v>90000</v>
      </c>
      <c r="O10" s="23">
        <f t="shared" si="3"/>
        <v>5.1521090341867158E-2</v>
      </c>
      <c r="P10" s="15" t="s">
        <v>137</v>
      </c>
      <c r="Q10" s="56" t="s">
        <v>138</v>
      </c>
    </row>
    <row r="11" spans="1:22" s="56" customFormat="1" x14ac:dyDescent="0.35">
      <c r="A11" s="56" t="s">
        <v>76</v>
      </c>
      <c r="B11" s="14" t="s">
        <v>102</v>
      </c>
      <c r="C11" s="14" t="s">
        <v>121</v>
      </c>
      <c r="D11" s="48" t="str">
        <f t="shared" si="0"/>
        <v>OK</v>
      </c>
      <c r="E11" s="56" t="s">
        <v>81</v>
      </c>
      <c r="F11" s="8">
        <v>612098.74</v>
      </c>
      <c r="G11" s="56">
        <v>388634.11800000002</v>
      </c>
      <c r="H11" s="56" t="s">
        <v>96</v>
      </c>
      <c r="J11" s="6">
        <f t="shared" si="1"/>
        <v>4.5588813151049346E-2</v>
      </c>
      <c r="K11" s="3">
        <v>0.05</v>
      </c>
      <c r="L11" s="21">
        <f t="shared" si="2"/>
        <v>59200</v>
      </c>
      <c r="M11" s="7"/>
      <c r="N11" s="44">
        <v>75000</v>
      </c>
      <c r="O11" s="23">
        <f t="shared" si="3"/>
        <v>5.1174776269236298E-2</v>
      </c>
      <c r="P11" s="15" t="s">
        <v>137</v>
      </c>
      <c r="Q11" s="56" t="s">
        <v>139</v>
      </c>
    </row>
    <row r="12" spans="1:22" s="56" customFormat="1" x14ac:dyDescent="0.35">
      <c r="A12" s="56" t="s">
        <v>76</v>
      </c>
      <c r="B12" s="14" t="s">
        <v>108</v>
      </c>
      <c r="C12" s="14" t="s">
        <v>127</v>
      </c>
      <c r="D12" s="48" t="str">
        <f t="shared" si="0"/>
        <v>OK</v>
      </c>
      <c r="E12" s="56" t="s">
        <v>87</v>
      </c>
      <c r="F12" s="8">
        <v>760242.66</v>
      </c>
      <c r="G12" s="56">
        <v>6937.66</v>
      </c>
      <c r="H12" s="56" t="s">
        <v>96</v>
      </c>
      <c r="J12" s="6">
        <f t="shared" si="1"/>
        <v>5.6622499461764522E-2</v>
      </c>
      <c r="K12" s="3">
        <v>0.06</v>
      </c>
      <c r="L12" s="21">
        <f t="shared" si="2"/>
        <v>45300</v>
      </c>
      <c r="M12" s="7"/>
      <c r="N12" s="44"/>
      <c r="O12" s="23">
        <f t="shared" si="3"/>
        <v>5.6622499461764522E-2</v>
      </c>
      <c r="P12" s="15" t="s">
        <v>137</v>
      </c>
      <c r="Q12" s="56" t="s">
        <v>139</v>
      </c>
    </row>
    <row r="13" spans="1:22" s="56" customFormat="1" x14ac:dyDescent="0.35">
      <c r="A13" s="56" t="s">
        <v>76</v>
      </c>
      <c r="B13" s="14" t="s">
        <v>109</v>
      </c>
      <c r="C13" s="14" t="s">
        <v>128</v>
      </c>
      <c r="D13" s="48" t="str">
        <f t="shared" si="0"/>
        <v>OK</v>
      </c>
      <c r="E13" s="56" t="s">
        <v>88</v>
      </c>
      <c r="F13" s="8">
        <v>546784.76</v>
      </c>
      <c r="G13" s="56">
        <v>556127.70400000003</v>
      </c>
      <c r="H13" s="56" t="s">
        <v>96</v>
      </c>
      <c r="J13" s="6">
        <f t="shared" si="1"/>
        <v>4.0724260039289355E-2</v>
      </c>
      <c r="K13" s="3">
        <v>4.4999999999999998E-2</v>
      </c>
      <c r="L13" s="21">
        <f t="shared" si="2"/>
        <v>57400</v>
      </c>
      <c r="M13" s="7"/>
      <c r="N13" s="44">
        <v>75000</v>
      </c>
      <c r="O13" s="23">
        <f t="shared" si="3"/>
        <v>4.63102231574763E-2</v>
      </c>
      <c r="P13" s="15" t="s">
        <v>137</v>
      </c>
      <c r="Q13" s="56" t="s">
        <v>139</v>
      </c>
    </row>
    <row r="14" spans="1:22" s="56" customFormat="1" x14ac:dyDescent="0.35">
      <c r="A14" s="56" t="s">
        <v>76</v>
      </c>
      <c r="B14" s="14" t="s">
        <v>110</v>
      </c>
      <c r="C14" s="14" t="s">
        <v>129</v>
      </c>
      <c r="D14" s="48" t="str">
        <f t="shared" si="0"/>
        <v>OK</v>
      </c>
      <c r="E14" s="56" t="s">
        <v>89</v>
      </c>
      <c r="F14" s="8">
        <v>627141.23</v>
      </c>
      <c r="G14" s="56">
        <v>621239.45050000004</v>
      </c>
      <c r="H14" s="56" t="s">
        <v>96</v>
      </c>
      <c r="J14" s="6">
        <f t="shared" si="1"/>
        <v>4.670917040899196E-2</v>
      </c>
      <c r="K14" s="3">
        <v>0.05</v>
      </c>
      <c r="L14" s="21">
        <f t="shared" si="2"/>
        <v>44200</v>
      </c>
      <c r="M14" s="7"/>
      <c r="N14" s="44"/>
      <c r="O14" s="23">
        <f t="shared" si="3"/>
        <v>4.670917040899196E-2</v>
      </c>
      <c r="P14" s="15" t="s">
        <v>137</v>
      </c>
      <c r="Q14" s="56" t="s">
        <v>139</v>
      </c>
    </row>
    <row r="15" spans="1:22" s="56" customFormat="1" x14ac:dyDescent="0.35">
      <c r="A15" s="56" t="s">
        <v>76</v>
      </c>
      <c r="B15" s="14" t="s">
        <v>107</v>
      </c>
      <c r="C15" s="14" t="s">
        <v>126</v>
      </c>
      <c r="D15" s="48" t="str">
        <f t="shared" si="0"/>
        <v>CHECK</v>
      </c>
      <c r="E15" s="56" t="s">
        <v>86</v>
      </c>
      <c r="F15" s="8">
        <v>1220730.02</v>
      </c>
      <c r="G15" s="56">
        <v>1166376.8544999999</v>
      </c>
      <c r="H15" s="56" t="s">
        <v>96</v>
      </c>
      <c r="J15" s="6">
        <f t="shared" si="1"/>
        <v>9.0919371586448181E-2</v>
      </c>
      <c r="K15" s="3">
        <v>0.1</v>
      </c>
      <c r="L15" s="21">
        <f t="shared" si="2"/>
        <v>121900</v>
      </c>
      <c r="M15" s="7"/>
      <c r="N15" s="44">
        <v>135000</v>
      </c>
      <c r="O15" s="23">
        <f t="shared" si="3"/>
        <v>0.10097410519918469</v>
      </c>
      <c r="P15" s="15" t="s">
        <v>56</v>
      </c>
      <c r="Q15" s="56" t="s">
        <v>139</v>
      </c>
    </row>
    <row r="16" spans="1:22" s="56" customFormat="1" x14ac:dyDescent="0.35">
      <c r="A16" s="56" t="s">
        <v>76</v>
      </c>
      <c r="B16" s="14" t="s">
        <v>106</v>
      </c>
      <c r="C16" s="14" t="s">
        <v>125</v>
      </c>
      <c r="D16" s="48" t="str">
        <f t="shared" si="0"/>
        <v>OK</v>
      </c>
      <c r="E16" s="56" t="s">
        <v>85</v>
      </c>
      <c r="F16" s="8">
        <v>615170.06999999995</v>
      </c>
      <c r="G16" s="56">
        <v>48690.09</v>
      </c>
      <c r="H16" s="56" t="s">
        <v>96</v>
      </c>
      <c r="J16" s="6">
        <f t="shared" si="1"/>
        <v>4.5817564299099764E-2</v>
      </c>
      <c r="K16" s="3">
        <v>0.05</v>
      </c>
      <c r="L16" s="21">
        <f t="shared" si="2"/>
        <v>56200</v>
      </c>
      <c r="M16" s="7"/>
      <c r="N16" s="44">
        <v>75000</v>
      </c>
      <c r="O16" s="23">
        <f t="shared" si="3"/>
        <v>5.140352741728671E-2</v>
      </c>
      <c r="P16" s="15" t="s">
        <v>141</v>
      </c>
      <c r="Q16" s="56" t="s">
        <v>139</v>
      </c>
    </row>
    <row r="17" spans="1:17" s="56" customFormat="1" x14ac:dyDescent="0.35">
      <c r="A17" s="56" t="s">
        <v>44</v>
      </c>
      <c r="B17" s="14" t="s">
        <v>103</v>
      </c>
      <c r="C17" s="14" t="s">
        <v>122</v>
      </c>
      <c r="D17" s="48" t="str">
        <f t="shared" si="0"/>
        <v>OK</v>
      </c>
      <c r="E17" s="56" t="s">
        <v>82</v>
      </c>
      <c r="F17" s="8">
        <v>640496.80000000005</v>
      </c>
      <c r="G17" s="56">
        <v>245166.239</v>
      </c>
      <c r="H17" s="56" t="s">
        <v>96</v>
      </c>
      <c r="J17" s="6">
        <f t="shared" si="1"/>
        <v>4.7703886694890153E-2</v>
      </c>
      <c r="K17" s="3">
        <v>0.05</v>
      </c>
      <c r="L17" s="21">
        <f t="shared" si="2"/>
        <v>30800</v>
      </c>
      <c r="M17" s="7"/>
      <c r="N17" s="44"/>
      <c r="O17" s="23">
        <f t="shared" si="3"/>
        <v>4.7703886694890153E-2</v>
      </c>
      <c r="P17" s="15" t="s">
        <v>140</v>
      </c>
      <c r="Q17" s="56" t="s">
        <v>139</v>
      </c>
    </row>
    <row r="18" spans="1:17" s="56" customFormat="1" x14ac:dyDescent="0.35">
      <c r="A18" s="56" t="s">
        <v>44</v>
      </c>
      <c r="B18" s="14" t="s">
        <v>115</v>
      </c>
      <c r="C18" s="14" t="s">
        <v>134</v>
      </c>
      <c r="D18" s="48" t="str">
        <f t="shared" si="0"/>
        <v>OK</v>
      </c>
      <c r="E18" s="56" t="s">
        <v>94</v>
      </c>
      <c r="F18" s="8">
        <v>623124.99</v>
      </c>
      <c r="G18" s="56">
        <v>150368</v>
      </c>
      <c r="H18" s="56" t="s">
        <v>96</v>
      </c>
      <c r="J18" s="6">
        <f t="shared" si="1"/>
        <v>4.6410042828808132E-2</v>
      </c>
      <c r="K18" s="3">
        <v>0.05</v>
      </c>
      <c r="L18" s="21">
        <f t="shared" si="2"/>
        <v>48200</v>
      </c>
      <c r="M18" s="7"/>
      <c r="N18" s="44">
        <v>60000</v>
      </c>
      <c r="O18" s="23">
        <f t="shared" si="3"/>
        <v>5.087881332335769E-2</v>
      </c>
      <c r="P18" s="15" t="s">
        <v>142</v>
      </c>
      <c r="Q18" s="56" t="s">
        <v>138</v>
      </c>
    </row>
    <row r="19" spans="1:17" s="56" customFormat="1" x14ac:dyDescent="0.35">
      <c r="A19" s="56" t="s">
        <v>44</v>
      </c>
      <c r="B19" s="14" t="s">
        <v>99</v>
      </c>
      <c r="C19" s="14" t="s">
        <v>118</v>
      </c>
      <c r="D19" s="48" t="str">
        <f t="shared" si="0"/>
        <v>OK</v>
      </c>
      <c r="E19" s="56" t="s">
        <v>78</v>
      </c>
      <c r="F19" s="8">
        <v>652449.09</v>
      </c>
      <c r="G19" s="56">
        <v>2609.1399000000001</v>
      </c>
      <c r="H19" s="56" t="s">
        <v>96</v>
      </c>
      <c r="J19" s="6">
        <f t="shared" si="1"/>
        <v>4.8594087376461807E-2</v>
      </c>
      <c r="K19" s="3">
        <v>5.6000000000000001E-2</v>
      </c>
      <c r="L19" s="21">
        <f t="shared" si="2"/>
        <v>99400</v>
      </c>
      <c r="M19" s="7"/>
      <c r="N19" s="44">
        <v>140000</v>
      </c>
      <c r="O19" s="23">
        <f t="shared" si="3"/>
        <v>5.9021218530410778E-2</v>
      </c>
      <c r="P19" s="15" t="s">
        <v>46</v>
      </c>
      <c r="Q19" s="56" t="s">
        <v>144</v>
      </c>
    </row>
    <row r="20" spans="1:17" s="56" customFormat="1" x14ac:dyDescent="0.35">
      <c r="A20" s="56" t="s">
        <v>76</v>
      </c>
      <c r="B20" s="14" t="s">
        <v>104</v>
      </c>
      <c r="C20" s="14" t="s">
        <v>123</v>
      </c>
      <c r="D20" s="48" t="str">
        <f t="shared" si="0"/>
        <v>OK</v>
      </c>
      <c r="E20" s="56" t="s">
        <v>83</v>
      </c>
      <c r="F20" s="8">
        <v>519713.82</v>
      </c>
      <c r="G20" s="56">
        <v>198061.671</v>
      </c>
      <c r="H20" s="56" t="s">
        <v>96</v>
      </c>
      <c r="J20" s="6">
        <f t="shared" si="1"/>
        <v>3.8708029740427329E-2</v>
      </c>
      <c r="K20" s="3">
        <v>0.04</v>
      </c>
      <c r="L20" s="21">
        <f t="shared" si="2"/>
        <v>17300</v>
      </c>
      <c r="M20" s="7"/>
      <c r="N20" s="44"/>
      <c r="O20" s="23">
        <f t="shared" si="3"/>
        <v>3.8708029740427329E-2</v>
      </c>
      <c r="P20" s="15" t="s">
        <v>46</v>
      </c>
      <c r="Q20" s="56" t="s">
        <v>139</v>
      </c>
    </row>
    <row r="21" spans="1:17" s="56" customFormat="1" x14ac:dyDescent="0.35">
      <c r="A21" s="56" t="s">
        <v>76</v>
      </c>
      <c r="B21" s="14" t="s">
        <v>105</v>
      </c>
      <c r="C21" s="14" t="s">
        <v>124</v>
      </c>
      <c r="D21" s="48" t="str">
        <f t="shared" si="0"/>
        <v>OK</v>
      </c>
      <c r="E21" s="56" t="s">
        <v>84</v>
      </c>
      <c r="F21" s="8">
        <v>356216.9</v>
      </c>
      <c r="G21" s="56">
        <v>52123.453999999998</v>
      </c>
      <c r="H21" s="56" t="s">
        <v>96</v>
      </c>
      <c r="J21" s="6">
        <f t="shared" si="1"/>
        <v>2.6530859539665174E-2</v>
      </c>
      <c r="K21" s="3">
        <v>2.4E-2</v>
      </c>
      <c r="L21" s="21">
        <f t="shared" si="2"/>
        <v>-34000</v>
      </c>
      <c r="M21" s="7"/>
      <c r="N21" s="44">
        <v>-20000</v>
      </c>
      <c r="O21" s="23">
        <f t="shared" si="3"/>
        <v>2.5041269374815319E-2</v>
      </c>
      <c r="P21" s="15" t="s">
        <v>46</v>
      </c>
      <c r="Q21" s="56" t="s">
        <v>144</v>
      </c>
    </row>
    <row r="22" spans="1:17" s="56" customFormat="1" x14ac:dyDescent="0.35">
      <c r="A22" s="56" t="s">
        <v>76</v>
      </c>
      <c r="B22" s="14" t="s">
        <v>113</v>
      </c>
      <c r="C22" s="14" t="s">
        <v>132</v>
      </c>
      <c r="D22" s="48" t="str">
        <f t="shared" si="0"/>
        <v>OK</v>
      </c>
      <c r="E22" s="56" t="s">
        <v>92</v>
      </c>
      <c r="F22" s="8">
        <v>478625.23</v>
      </c>
      <c r="G22" s="56">
        <v>410449.56</v>
      </c>
      <c r="H22" s="56" t="s">
        <v>96</v>
      </c>
      <c r="J22" s="6">
        <f t="shared" si="1"/>
        <v>3.5647771762849924E-2</v>
      </c>
      <c r="K22" s="3">
        <v>0.04</v>
      </c>
      <c r="L22" s="21">
        <f t="shared" si="2"/>
        <v>58400</v>
      </c>
      <c r="M22" s="7"/>
      <c r="N22" s="44">
        <v>75000</v>
      </c>
      <c r="O22" s="23">
        <f t="shared" si="3"/>
        <v>4.1233734881036876E-2</v>
      </c>
      <c r="P22" s="15" t="s">
        <v>46</v>
      </c>
      <c r="Q22" s="56" t="s">
        <v>139</v>
      </c>
    </row>
    <row r="23" spans="1:17" s="56" customFormat="1" x14ac:dyDescent="0.35">
      <c r="A23" s="56" t="s">
        <v>76</v>
      </c>
      <c r="B23" s="14" t="s">
        <v>111</v>
      </c>
      <c r="C23" s="14" t="s">
        <v>130</v>
      </c>
      <c r="D23" s="48" t="str">
        <f t="shared" si="0"/>
        <v>OK</v>
      </c>
      <c r="E23" s="56" t="s">
        <v>90</v>
      </c>
      <c r="F23" s="8">
        <v>903770.07</v>
      </c>
      <c r="G23" s="56">
        <v>258013.61</v>
      </c>
      <c r="H23" s="56" t="s">
        <v>96</v>
      </c>
      <c r="J23" s="6">
        <f t="shared" si="1"/>
        <v>6.7312350377883134E-2</v>
      </c>
      <c r="K23" s="3">
        <v>7.0000000000000007E-2</v>
      </c>
      <c r="L23" s="21">
        <f t="shared" si="2"/>
        <v>36100</v>
      </c>
      <c r="M23" s="7"/>
      <c r="N23" s="44"/>
      <c r="O23" s="23">
        <f t="shared" si="3"/>
        <v>6.7312350377883134E-2</v>
      </c>
      <c r="P23" s="15" t="s">
        <v>49</v>
      </c>
      <c r="Q23" s="56" t="s">
        <v>139</v>
      </c>
    </row>
    <row r="24" spans="1:17" s="56" customFormat="1" x14ac:dyDescent="0.35">
      <c r="A24" s="56" t="s">
        <v>44</v>
      </c>
      <c r="B24" s="14" t="s">
        <v>112</v>
      </c>
      <c r="C24" s="14" t="s">
        <v>131</v>
      </c>
      <c r="D24" s="48" t="str">
        <f t="shared" si="0"/>
        <v>OK</v>
      </c>
      <c r="E24" s="56" t="s">
        <v>91</v>
      </c>
      <c r="F24" s="8">
        <v>467524.8</v>
      </c>
      <c r="G24" s="56">
        <v>7518</v>
      </c>
      <c r="H24" s="56" t="s">
        <v>97</v>
      </c>
      <c r="J24" s="6">
        <f t="shared" si="1"/>
        <v>3.4821017195169716E-2</v>
      </c>
      <c r="K24" s="3">
        <v>3.5000000000000003E-2</v>
      </c>
      <c r="L24" s="21">
        <f t="shared" si="2"/>
        <v>2400</v>
      </c>
      <c r="M24" s="7"/>
      <c r="N24" s="44"/>
      <c r="O24" s="23">
        <f t="shared" si="3"/>
        <v>3.4821017195169716E-2</v>
      </c>
      <c r="P24" s="15" t="s">
        <v>49</v>
      </c>
      <c r="Q24" s="56" t="s">
        <v>138</v>
      </c>
    </row>
    <row r="25" spans="1:17" s="56" customFormat="1" x14ac:dyDescent="0.35">
      <c r="A25" s="56" t="s">
        <v>44</v>
      </c>
      <c r="B25" s="14" t="s">
        <v>114</v>
      </c>
      <c r="C25" s="14" t="s">
        <v>133</v>
      </c>
      <c r="D25" s="48" t="str">
        <f t="shared" si="0"/>
        <v>OK</v>
      </c>
      <c r="E25" s="56" t="s">
        <v>93</v>
      </c>
      <c r="F25" s="8">
        <v>407849.62</v>
      </c>
      <c r="G25" s="56">
        <v>139521.628</v>
      </c>
      <c r="H25" s="56" t="s">
        <v>96</v>
      </c>
      <c r="J25" s="6">
        <f t="shared" si="1"/>
        <v>3.0376439134487485E-2</v>
      </c>
      <c r="K25" s="3">
        <v>3.5000000000000003E-2</v>
      </c>
      <c r="L25" s="21">
        <f t="shared" si="2"/>
        <v>62100</v>
      </c>
      <c r="M25" s="7"/>
      <c r="N25" s="44">
        <v>90000</v>
      </c>
      <c r="O25" s="23">
        <f t="shared" si="3"/>
        <v>3.7079594876311822E-2</v>
      </c>
      <c r="P25" s="15" t="s">
        <v>49</v>
      </c>
      <c r="Q25" s="56" t="s">
        <v>139</v>
      </c>
    </row>
    <row r="26" spans="1:17" ht="13.5" customHeight="1" thickBot="1" x14ac:dyDescent="0.4">
      <c r="E26" s="16"/>
      <c r="K26" s="4"/>
      <c r="L26" s="24"/>
      <c r="M26" s="17"/>
      <c r="N26" s="24"/>
      <c r="O26" s="15"/>
    </row>
    <row r="27" spans="1:17" ht="13.5" customHeight="1" thickBot="1" x14ac:dyDescent="0.45">
      <c r="B27" s="36" t="s">
        <v>52</v>
      </c>
      <c r="C27" s="47"/>
      <c r="D27" s="47"/>
      <c r="E27" s="37"/>
      <c r="F27" s="18">
        <f>1170204.38 -20000</f>
        <v>1150204.3799999999</v>
      </c>
      <c r="J27" s="38" t="s">
        <v>53</v>
      </c>
      <c r="K27" s="57" t="s">
        <v>35</v>
      </c>
      <c r="L27" s="58"/>
      <c r="M27" s="39" t="s">
        <v>54</v>
      </c>
    </row>
    <row r="28" spans="1:17" x14ac:dyDescent="0.35">
      <c r="A28" s="5" t="s">
        <v>44</v>
      </c>
      <c r="B28" s="61" t="s">
        <v>55</v>
      </c>
      <c r="C28" s="62"/>
      <c r="D28" s="62"/>
      <c r="E28" s="62"/>
      <c r="F28" s="35">
        <f>VALU_JC+VALU_XA-VALU_BV+$F$27</f>
        <v>1599290.6800000006</v>
      </c>
      <c r="G28" s="33">
        <v>406401.95</v>
      </c>
      <c r="H28" s="34">
        <v>12276307.470000001</v>
      </c>
      <c r="I28" s="34">
        <v>12233623.119999999</v>
      </c>
      <c r="J28" s="40">
        <f>F28/F30</f>
        <v>0.11911438338320168</v>
      </c>
      <c r="K28" s="41">
        <v>0.04</v>
      </c>
      <c r="L28" s="42">
        <f>F28-SUM(L7:L26)</f>
        <v>537290.68000000063</v>
      </c>
      <c r="M28" s="43">
        <f>F28-SUM(N7:N27)</f>
        <v>539290.68000000063</v>
      </c>
      <c r="O28" s="23">
        <f>$M$28/$F$30</f>
        <v>4.0166104646159502E-2</v>
      </c>
      <c r="P28" s="5" t="s">
        <v>56</v>
      </c>
    </row>
    <row r="29" spans="1:17" x14ac:dyDescent="0.35">
      <c r="F29" s="27"/>
      <c r="G29" s="27"/>
      <c r="J29" s="23"/>
    </row>
    <row r="30" spans="1:17" ht="13.15" x14ac:dyDescent="0.4">
      <c r="B30" s="63" t="s">
        <v>57</v>
      </c>
      <c r="C30" s="60"/>
      <c r="D30" s="60"/>
      <c r="E30" s="60"/>
      <c r="F30" s="28" cm="1">
        <f t="array" ref="F30">SUM(SUMIF(A:A,{"S","MF","G"},F:F))</f>
        <v>13426511.850000001</v>
      </c>
      <c r="I30" s="29">
        <f>MAX(J7:J28)</f>
        <v>0.11911438338320168</v>
      </c>
      <c r="J30" s="23"/>
      <c r="K30" s="6">
        <f>SUM(K7:K29)</f>
        <v>1.0000000000000004</v>
      </c>
    </row>
    <row r="32" spans="1:17" ht="13.15" x14ac:dyDescent="0.4">
      <c r="B32" s="59" t="str">
        <f>IF(I30&gt;0.2,"One or more of the holdings is currently over 20% of the portfolio value, please record the breach and report it to a fund manager",IF(I30&gt;0.15,"One or more of the holdings is over 15% of the portfolio value, please inform a fund manager",""))</f>
        <v/>
      </c>
      <c r="C32" s="60"/>
      <c r="D32" s="60"/>
      <c r="E32" s="60"/>
      <c r="F32" s="60"/>
      <c r="G32" s="60"/>
      <c r="H32" s="60"/>
      <c r="I32" s="60"/>
      <c r="J32" s="60"/>
      <c r="K32" s="11" t="s">
        <v>58</v>
      </c>
      <c r="L32" s="25">
        <f>SUM(L7:L26)</f>
        <v>1062000</v>
      </c>
      <c r="M32" s="25">
        <f>SUM(N7:N26)</f>
        <v>1060000</v>
      </c>
      <c r="N32" s="25"/>
    </row>
    <row r="33" spans="2:14" x14ac:dyDescent="0.35">
      <c r="B33" s="60"/>
      <c r="C33" s="60"/>
      <c r="D33" s="60"/>
      <c r="E33" s="60"/>
      <c r="F33" s="60"/>
      <c r="G33" s="60"/>
      <c r="H33" s="60"/>
      <c r="I33" s="60"/>
      <c r="J33" s="60"/>
      <c r="K33" s="6" t="s">
        <v>59</v>
      </c>
      <c r="L33" s="23">
        <f>($F$28-L32)/$F$30</f>
        <v>4.0017145629674511E-2</v>
      </c>
      <c r="M33" s="6">
        <f>($F$28-M32)/$F$30</f>
        <v>4.0166104646159502E-2</v>
      </c>
      <c r="N33" s="23"/>
    </row>
    <row r="34" spans="2:14" x14ac:dyDescent="0.35">
      <c r="B34" s="60"/>
      <c r="C34" s="60"/>
      <c r="D34" s="60"/>
      <c r="E34" s="60"/>
      <c r="F34" s="60"/>
      <c r="G34" s="60"/>
      <c r="H34" s="60"/>
      <c r="I34" s="60"/>
      <c r="J34" s="60"/>
    </row>
    <row r="35" spans="2:14" ht="32.25" customHeight="1" x14ac:dyDescent="0.4">
      <c r="E35" s="19" t="s">
        <v>60</v>
      </c>
      <c r="F35" s="12" t="s">
        <v>61</v>
      </c>
      <c r="G35" s="19"/>
      <c r="H35" s="19"/>
      <c r="I35" s="19"/>
      <c r="J35" s="20" t="s">
        <v>62</v>
      </c>
      <c r="K35" s="20" t="s">
        <v>63</v>
      </c>
      <c r="L35" s="22" t="s">
        <v>64</v>
      </c>
      <c r="M35" s="13"/>
      <c r="N35" s="22"/>
    </row>
    <row r="36" spans="2:14" x14ac:dyDescent="0.35">
      <c r="E36" s="32" t="s">
        <v>43</v>
      </c>
      <c r="F36" s="27">
        <f>SUMIF(P:P,E36,L:L)</f>
        <v>509800</v>
      </c>
      <c r="G36" s="27">
        <f>SUMIF(P:P,F36,G:G)+SUMIF(P:P,F36,O:O)</f>
        <v>0</v>
      </c>
      <c r="H36" s="27">
        <f>SUMIF(Q:Q,G36,H:H)+SUMIF(Q:Q,G36,P:P)</f>
        <v>0</v>
      </c>
      <c r="I36" s="27">
        <f>SUMIF(R:R,H36,I:I)+SUMIF(R:R,H36,Q:Q)</f>
        <v>0</v>
      </c>
      <c r="J36" s="29">
        <f>SUMIF(P:P,E36,K:K)</f>
        <v>0.37</v>
      </c>
      <c r="K36" s="29">
        <f>SUMIF(P:P,E36,$J:$J)</f>
        <v>0.33202329836695449</v>
      </c>
      <c r="L36" s="23">
        <f>SUMIF(P:P,E36,O:O)</f>
        <v>0.36963545002941323</v>
      </c>
    </row>
    <row r="37" spans="2:14" x14ac:dyDescent="0.35">
      <c r="E37" s="32" t="s">
        <v>48</v>
      </c>
      <c r="F37" s="27">
        <f>SUMIF(P:P,E37,L:L)</f>
        <v>48200</v>
      </c>
      <c r="J37" s="29">
        <f>SUMIF(P:P,E37,K:K)</f>
        <v>0.05</v>
      </c>
      <c r="K37" s="29">
        <f>SUMIF(P:P,E37,$J:$J)</f>
        <v>4.6410042828808132E-2</v>
      </c>
      <c r="L37" s="23">
        <f>SUMIF(P:P,E37,O:O)</f>
        <v>5.087881332335769E-2</v>
      </c>
    </row>
    <row r="38" spans="2:14" x14ac:dyDescent="0.35">
      <c r="E38" s="46" t="s">
        <v>51</v>
      </c>
      <c r="F38" s="27">
        <f>SUMIF(P:P,E38,L:L)</f>
        <v>0</v>
      </c>
      <c r="J38" s="29">
        <f>SUMIF(P:P,E38,K:K)</f>
        <v>0</v>
      </c>
      <c r="K38" s="29">
        <f>SUMIF(P:P,E38,$J:$J)</f>
        <v>0</v>
      </c>
      <c r="L38" s="23">
        <f>SUMIF(P:P,E38,O:O)</f>
        <v>0</v>
      </c>
    </row>
    <row r="39" spans="2:14" x14ac:dyDescent="0.35">
      <c r="E39" s="66" t="s">
        <v>47</v>
      </c>
      <c r="F39" s="27">
        <f>SUMIF(P:P,E39,L:L)</f>
        <v>0</v>
      </c>
      <c r="J39" s="29">
        <f>SUMIF(P:P,E39,K:K)</f>
        <v>0</v>
      </c>
      <c r="K39" s="29">
        <f>SUMIF(P:P,E39,$J:$J)</f>
        <v>0</v>
      </c>
      <c r="L39" s="23">
        <f>SUMIF(P:P,E39,O:O)</f>
        <v>0</v>
      </c>
    </row>
    <row r="40" spans="2:14" ht="13.15" x14ac:dyDescent="0.4">
      <c r="E40" s="67" t="s">
        <v>65</v>
      </c>
      <c r="F40" s="28">
        <f>SUM(F36:F38)</f>
        <v>558000</v>
      </c>
      <c r="G40" s="30"/>
      <c r="H40" s="30"/>
      <c r="I40" s="30"/>
      <c r="J40" s="26">
        <f>SUM(J36:J39)</f>
        <v>0.42</v>
      </c>
      <c r="K40" s="26">
        <f>SUM(K36:K39)</f>
        <v>0.37843334119576261</v>
      </c>
      <c r="L40" s="26">
        <f>SUM(L36:L39)</f>
        <v>0.42051426335277092</v>
      </c>
    </row>
    <row r="41" spans="2:14" x14ac:dyDescent="0.35">
      <c r="E41" s="68"/>
      <c r="F41" s="27"/>
      <c r="J41" s="23"/>
      <c r="K41" s="23"/>
    </row>
    <row r="42" spans="2:14" ht="13.15" x14ac:dyDescent="0.4">
      <c r="E42" s="67" t="s">
        <v>66</v>
      </c>
      <c r="F42" s="27"/>
      <c r="J42" s="23"/>
      <c r="K42" s="23"/>
    </row>
    <row r="43" spans="2:14" x14ac:dyDescent="0.35">
      <c r="E43" s="69" t="s">
        <v>46</v>
      </c>
      <c r="F43" s="27">
        <f t="shared" ref="F43:F52" si="4">SUMIF(P:P,E43,L:L)</f>
        <v>141100</v>
      </c>
      <c r="J43" s="29">
        <f t="shared" ref="J43:J52" si="5">SUMIF(P:P,E43,K:K)</f>
        <v>0.16</v>
      </c>
      <c r="K43" s="29">
        <f t="shared" ref="K43:K52" si="6">SUMIF(P:P,E43,$J:$J)</f>
        <v>0.14948074841940423</v>
      </c>
      <c r="L43" s="23">
        <f t="shared" ref="L43:L52" si="7">SUMIF(P:P,E43,O:O)</f>
        <v>0.16400425252669032</v>
      </c>
    </row>
    <row r="44" spans="2:14" x14ac:dyDescent="0.35">
      <c r="E44" s="69" t="s">
        <v>67</v>
      </c>
      <c r="F44" s="27">
        <f t="shared" si="4"/>
        <v>0</v>
      </c>
      <c r="J44" s="29">
        <f t="shared" si="5"/>
        <v>0</v>
      </c>
      <c r="K44" s="29">
        <f t="shared" si="6"/>
        <v>0</v>
      </c>
      <c r="L44" s="23">
        <f t="shared" si="7"/>
        <v>0</v>
      </c>
    </row>
    <row r="45" spans="2:14" x14ac:dyDescent="0.35">
      <c r="E45" s="69" t="s">
        <v>50</v>
      </c>
      <c r="F45" s="27">
        <f t="shared" si="4"/>
        <v>53400</v>
      </c>
      <c r="J45" s="29">
        <f t="shared" si="5"/>
        <v>0.04</v>
      </c>
      <c r="K45" s="29">
        <f t="shared" si="6"/>
        <v>3.6020897713653001E-2</v>
      </c>
      <c r="L45" s="23">
        <f t="shared" si="7"/>
        <v>3.6020897713653001E-2</v>
      </c>
    </row>
    <row r="46" spans="2:14" x14ac:dyDescent="0.35">
      <c r="E46" s="69" t="s">
        <v>45</v>
      </c>
      <c r="F46" s="27">
        <f t="shared" si="4"/>
        <v>56200</v>
      </c>
      <c r="J46" s="29">
        <f t="shared" si="5"/>
        <v>0.05</v>
      </c>
      <c r="K46" s="29">
        <f t="shared" si="6"/>
        <v>4.5817564299099764E-2</v>
      </c>
      <c r="L46" s="23">
        <f t="shared" si="7"/>
        <v>5.140352741728671E-2</v>
      </c>
    </row>
    <row r="47" spans="2:14" x14ac:dyDescent="0.35">
      <c r="E47" s="69" t="s">
        <v>49</v>
      </c>
      <c r="F47" s="27">
        <f t="shared" si="4"/>
        <v>100600</v>
      </c>
      <c r="J47" s="29">
        <f t="shared" si="5"/>
        <v>0.14000000000000001</v>
      </c>
      <c r="K47" s="29">
        <f t="shared" si="6"/>
        <v>0.13250980670754034</v>
      </c>
      <c r="L47" s="23">
        <f t="shared" si="7"/>
        <v>0.13921296244936468</v>
      </c>
    </row>
    <row r="48" spans="2:14" x14ac:dyDescent="0.35">
      <c r="E48" s="69" t="s">
        <v>42</v>
      </c>
      <c r="F48" s="27">
        <f t="shared" si="4"/>
        <v>0</v>
      </c>
      <c r="J48" s="29">
        <f t="shared" si="5"/>
        <v>0</v>
      </c>
      <c r="K48" s="29">
        <f t="shared" si="6"/>
        <v>0</v>
      </c>
      <c r="L48" s="23">
        <f t="shared" si="7"/>
        <v>0</v>
      </c>
    </row>
    <row r="49" spans="5:12" x14ac:dyDescent="0.35">
      <c r="E49" s="69" t="s">
        <v>41</v>
      </c>
      <c r="F49" s="27">
        <f t="shared" si="4"/>
        <v>0</v>
      </c>
      <c r="J49" s="29">
        <f t="shared" si="5"/>
        <v>0</v>
      </c>
      <c r="K49" s="29">
        <f t="shared" si="6"/>
        <v>0</v>
      </c>
      <c r="L49" s="23">
        <f t="shared" si="7"/>
        <v>0</v>
      </c>
    </row>
    <row r="50" spans="5:12" x14ac:dyDescent="0.35">
      <c r="E50" s="70" t="s">
        <v>68</v>
      </c>
      <c r="F50" s="27">
        <f t="shared" si="4"/>
        <v>0</v>
      </c>
      <c r="J50" s="29">
        <f t="shared" si="5"/>
        <v>0</v>
      </c>
      <c r="K50" s="29">
        <f t="shared" si="6"/>
        <v>0</v>
      </c>
      <c r="L50" s="23">
        <f t="shared" si="7"/>
        <v>0</v>
      </c>
    </row>
    <row r="51" spans="5:12" x14ac:dyDescent="0.35">
      <c r="E51" s="70" t="s">
        <v>69</v>
      </c>
      <c r="F51" s="27">
        <f t="shared" si="4"/>
        <v>0</v>
      </c>
      <c r="J51" s="29">
        <f t="shared" si="5"/>
        <v>0</v>
      </c>
      <c r="K51" s="29">
        <f t="shared" si="6"/>
        <v>0</v>
      </c>
      <c r="L51" s="23">
        <f t="shared" si="7"/>
        <v>0</v>
      </c>
    </row>
    <row r="52" spans="5:12" x14ac:dyDescent="0.35">
      <c r="E52" s="69" t="s">
        <v>70</v>
      </c>
      <c r="F52" s="27">
        <f t="shared" si="4"/>
        <v>30800</v>
      </c>
      <c r="J52" s="29">
        <f t="shared" si="5"/>
        <v>0.05</v>
      </c>
      <c r="K52" s="29">
        <f t="shared" si="6"/>
        <v>4.7703886694890153E-2</v>
      </c>
      <c r="L52" s="23">
        <f t="shared" si="7"/>
        <v>4.7703886694890153E-2</v>
      </c>
    </row>
    <row r="53" spans="5:12" ht="13.15" x14ac:dyDescent="0.4">
      <c r="E53" s="67" t="s">
        <v>71</v>
      </c>
      <c r="F53" s="28">
        <f>SUM(F43:F52)</f>
        <v>382100</v>
      </c>
      <c r="G53" s="30"/>
      <c r="H53" s="30"/>
      <c r="I53" s="30"/>
      <c r="J53" s="31">
        <f>SUM(J43:J52)</f>
        <v>0.44</v>
      </c>
      <c r="K53" s="26">
        <f>SUM(K43:K52)</f>
        <v>0.41153290383458746</v>
      </c>
      <c r="L53" s="26">
        <f>SUM(L43:L52)</f>
        <v>0.43834552680188482</v>
      </c>
    </row>
    <row r="54" spans="5:12" x14ac:dyDescent="0.35">
      <c r="F54" s="27"/>
      <c r="J54" s="23"/>
      <c r="K54" s="23"/>
    </row>
    <row r="55" spans="5:12" x14ac:dyDescent="0.35">
      <c r="E55" s="5" t="s">
        <v>56</v>
      </c>
      <c r="F55" s="27">
        <f>SUMIF(O:O,E55,F:F)+SUMIF(O:O,E55,L:L)</f>
        <v>0</v>
      </c>
      <c r="J55" s="29">
        <f>SUMIF(P:P,E55,K:K)</f>
        <v>0.14000000000000001</v>
      </c>
      <c r="K55" s="29">
        <f>SUMIF(P:P,E55,J:J)</f>
        <v>0.21003375496964988</v>
      </c>
      <c r="L55" s="23">
        <f>SUMIF(P:P,E55,O:O)</f>
        <v>0.1411402098453442</v>
      </c>
    </row>
    <row r="56" spans="5:12" x14ac:dyDescent="0.35">
      <c r="F56" s="23">
        <f>SUM(F40+F53+F55)</f>
        <v>940100</v>
      </c>
      <c r="J56" s="23">
        <f>SUM(J40+J53+J55)</f>
        <v>1</v>
      </c>
      <c r="K56" s="23">
        <f>SUM(K40+K53+K55)</f>
        <v>1</v>
      </c>
      <c r="L56" s="23">
        <f>SUM(L40+L53+L55)</f>
        <v>1</v>
      </c>
    </row>
  </sheetData>
  <autoFilter ref="A6:V6" xr:uid="{00000000-0001-0000-0200-000000000000}">
    <sortState xmlns:xlrd2="http://schemas.microsoft.com/office/spreadsheetml/2017/richdata2" ref="A7:V25">
      <sortCondition ref="P6"/>
    </sortState>
  </autoFilter>
  <mergeCells count="7">
    <mergeCell ref="K27:L27"/>
    <mergeCell ref="B32:J34"/>
    <mergeCell ref="B28:E28"/>
    <mergeCell ref="B30:E30"/>
    <mergeCell ref="B1:J1"/>
    <mergeCell ref="B2:J2"/>
    <mergeCell ref="B3:J3"/>
  </mergeCells>
  <conditionalFormatting sqref="B32:J34">
    <cfRule type="expression" dxfId="20" priority="187" stopIfTrue="1">
      <formula>$I30&gt;0.2</formula>
    </cfRule>
  </conditionalFormatting>
  <conditionalFormatting sqref="K26:K27">
    <cfRule type="expression" dxfId="19" priority="112" stopIfTrue="1">
      <formula>OR(J26-K26&gt;=0.005,J26-K26&lt;=-0.005)</formula>
    </cfRule>
  </conditionalFormatting>
  <conditionalFormatting sqref="K7">
    <cfRule type="expression" dxfId="18" priority="96" stopIfTrue="1">
      <formula>OR(J7-K7&gt;=0.005,J7-K7&lt;=-0.005)</formula>
    </cfRule>
  </conditionalFormatting>
  <conditionalFormatting sqref="O7">
    <cfRule type="expression" dxfId="17" priority="90" stopIfTrue="1">
      <formula>OR(O7-K7&gt;=0.005,O7-K7&lt;=-0.005)</formula>
    </cfRule>
  </conditionalFormatting>
  <conditionalFormatting sqref="E52 L36:L39">
    <cfRule type="expression" dxfId="16" priority="83" stopIfTrue="1">
      <formula>OR($L36-$J36&gt;=0.005,$L36-$J36&lt;=-0.005)</formula>
    </cfRule>
  </conditionalFormatting>
  <conditionalFormatting sqref="E36:E37">
    <cfRule type="expression" dxfId="15" priority="81" stopIfTrue="1">
      <formula>OR($L36-$J36&gt;=0.005,$L36-$J36&lt;=-0.005)</formula>
    </cfRule>
  </conditionalFormatting>
  <conditionalFormatting sqref="E43:E49">
    <cfRule type="expression" dxfId="14" priority="79" stopIfTrue="1">
      <formula>OR($L43-$J43&gt;=0.005,$L43-$J43&lt;=-0.005)</formula>
    </cfRule>
  </conditionalFormatting>
  <conditionalFormatting sqref="U5">
    <cfRule type="expression" dxfId="13" priority="69" stopIfTrue="1">
      <formula>$M5&lt;&gt;""</formula>
    </cfRule>
  </conditionalFormatting>
  <conditionalFormatting sqref="B26:D26">
    <cfRule type="expression" dxfId="12" priority="68" stopIfTrue="1">
      <formula>AND(OR($B26=$V$5,$B26=$V$6),$M26&lt;&gt;"")</formula>
    </cfRule>
  </conditionalFormatting>
  <conditionalFormatting sqref="F26">
    <cfRule type="expression" dxfId="11" priority="66" stopIfTrue="1">
      <formula>AND(OR($B26=$V$5,$B26=$V$6),$M26&lt;&gt;"")</formula>
    </cfRule>
  </conditionalFormatting>
  <conditionalFormatting sqref="E40:E180 E7 E26:E38 N26:N180">
    <cfRule type="expression" dxfId="10" priority="188" stopIfTrue="1">
      <formula>$N7&lt;&gt;""</formula>
    </cfRule>
  </conditionalFormatting>
  <conditionalFormatting sqref="B7:E7">
    <cfRule type="expression" dxfId="9" priority="190" stopIfTrue="1">
      <formula>AND(OR($B7=$V$5,$B7=$V$6),$N7&lt;&gt;"")</formula>
    </cfRule>
  </conditionalFormatting>
  <conditionalFormatting sqref="F7">
    <cfRule type="expression" dxfId="8" priority="192" stopIfTrue="1">
      <formula>AND(OR($B7=$V$5,$B7=$V$6),$N7&lt;&gt;"")</formula>
    </cfRule>
  </conditionalFormatting>
  <conditionalFormatting sqref="L43:L52">
    <cfRule type="expression" dxfId="7" priority="53" stopIfTrue="1">
      <formula>OR($L43-$J43&gt;=0.005,$L43-$J43&lt;=-0.005)</formula>
    </cfRule>
  </conditionalFormatting>
  <conditionalFormatting sqref="K8:K25">
    <cfRule type="expression" dxfId="6" priority="4" stopIfTrue="1">
      <formula>OR(J8-K8&gt;=0.005,J8-K8&lt;=-0.005)</formula>
    </cfRule>
  </conditionalFormatting>
  <conditionalFormatting sqref="O8:O25">
    <cfRule type="expression" dxfId="5" priority="3" stopIfTrue="1">
      <formula>OR(O8-K8&gt;=0.005,O8-K8&lt;=-0.005)</formula>
    </cfRule>
  </conditionalFormatting>
  <conditionalFormatting sqref="E8:E25">
    <cfRule type="expression" dxfId="4" priority="5" stopIfTrue="1">
      <formula>$N8&lt;&gt;""</formula>
    </cfRule>
  </conditionalFormatting>
  <conditionalFormatting sqref="B8:E25">
    <cfRule type="expression" dxfId="3" priority="6" stopIfTrue="1">
      <formula>AND(OR($B8=$V$5,$B8=$V$6),$N8&lt;&gt;"")</formula>
    </cfRule>
  </conditionalFormatting>
  <conditionalFormatting sqref="F8:F25">
    <cfRule type="expression" dxfId="2" priority="7" stopIfTrue="1">
      <formula>AND(OR($B8=$V$5,$B8=$V$6),$N8&lt;&gt;"")</formula>
    </cfRule>
  </conditionalFormatting>
  <conditionalFormatting sqref="N7">
    <cfRule type="expression" dxfId="1" priority="2" stopIfTrue="1">
      <formula>$N7&lt;&gt;""</formula>
    </cfRule>
  </conditionalFormatting>
  <conditionalFormatting sqref="N8:N25">
    <cfRule type="expression" dxfId="0" priority="1" stopIfTrue="1">
      <formula>$N8&lt;&gt;""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Luke Nash</cp:lastModifiedBy>
  <cp:lastPrinted>2016-07-22T13:36:06Z</cp:lastPrinted>
  <dcterms:created xsi:type="dcterms:W3CDTF">2006-02-16T14:45:42Z</dcterms:created>
  <dcterms:modified xsi:type="dcterms:W3CDTF">2023-04-20T09:05:40Z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