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X:\Fund Management\Regulated Schemes\IBOSS\Dealing\Rebalancer sheets Excel and Templates\Rebalancers\"/>
    </mc:Choice>
  </mc:AlternateContent>
  <xr:revisionPtr revIDLastSave="0" documentId="8_{65D1F813-1803-4C1C-8158-0B4CD5B11C5F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IOControl" sheetId="1" r:id="rId1"/>
    <sheet name="APOLLO_LINKS" sheetId="2" state="hidden" r:id="rId2"/>
    <sheet name="Rebalancer" sheetId="3" r:id="rId3"/>
  </sheets>
  <definedNames>
    <definedName name="_xlnm._FilterDatabase" localSheetId="2" hidden="1">Rebalancer!$A$6:$V$6</definedName>
    <definedName name="DIST_2C_COL">Rebalancer!$P$7</definedName>
    <definedName name="DIST_AG_COL">Rebalancer!$A$7</definedName>
    <definedName name="DIST_CV_COL">Rebalancer!$G$7</definedName>
    <definedName name="DIST_D1_COL">Rebalancer!$E$7</definedName>
    <definedName name="DIST_DETAIL_ROW">Rebalancer!$7:$7</definedName>
    <definedName name="DIST_INSERTED_ROWS">Rebalancer!$8:$47</definedName>
    <definedName name="DIST_LC_COL">Rebalancer!$H$7</definedName>
    <definedName name="DIST_NM_COL">Rebalancer!$F$7</definedName>
    <definedName name="DIST_REQ_ACCOUNT">IOControl!$B$5</definedName>
    <definedName name="DIST_REQ_DATE">IOControl!$B$6</definedName>
    <definedName name="DIST_REQ_FILTER_CODE_1">IOControl!$G$2</definedName>
    <definedName name="DIST_REQ_FILTER_CODE_2">IOControl!$G$3</definedName>
    <definedName name="DIST_REQ_FILTER_OPERAND_1">IOControl!$H$2</definedName>
    <definedName name="DIST_REQ_FILTER_OPERAND_2">IOControl!$H$3</definedName>
    <definedName name="DIST_REQ_FILTER_VALUE_1">IOControl!$I$2</definedName>
    <definedName name="DIST_REQ_FILTER_VALUE_2">IOControl!$I$3</definedName>
    <definedName name="DIST_REQ_SCTY_ONLY">IOControl!$B$7</definedName>
    <definedName name="DIST_SN_COL">Rebalancer!$B$7</definedName>
    <definedName name="DIST_U5_COL">Rebalancer!$C$7</definedName>
    <definedName name="IO_CUR_COL">1</definedName>
    <definedName name="IO_CUR_ROW">7</definedName>
    <definedName name="IO_DATA">IOControl!$B$2</definedName>
    <definedName name="IO_DATA2">IOControl!$B$9</definedName>
    <definedName name="IO_REPORT_TYPE">IOControl!$B$3</definedName>
    <definedName name="IO_REPORT_TYPE2">IOControl!$B$10</definedName>
    <definedName name="PARM_Account">IOControl!$E$2</definedName>
    <definedName name="PARM_Date">IOControl!$E$3</definedName>
    <definedName name="_xlnm.Print_Area" localSheetId="2">Rebalancer!$A$1:$Q$52</definedName>
    <definedName name="VALU_BV">Rebalancer!$I$50</definedName>
    <definedName name="VALU_JC">Rebalancer!$G$50</definedName>
    <definedName name="VALU_MN">Rebalancer!$B$2</definedName>
    <definedName name="VALU_REQ_ACCOUNT">IOControl!$B$12</definedName>
    <definedName name="VALU_REQ_CLASS">IOControl!$B$13</definedName>
    <definedName name="VALU_REQ_DATE">IOControl!$B$14</definedName>
    <definedName name="VALU_REQ_PERIOD_TYPE">IOControl!$B$16</definedName>
    <definedName name="VALU_REQ_PERIODS">IOControl!$B$15</definedName>
    <definedName name="VALU_XA">Rebalancer!$H$50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7" i="3" l="1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B6" i="1"/>
  <c r="D7" i="3"/>
  <c r="M54" i="3"/>
  <c r="J61" i="3" l="1"/>
  <c r="J77" i="3"/>
  <c r="J74" i="3"/>
  <c r="L73" i="3"/>
  <c r="K73" i="3"/>
  <c r="J73" i="3"/>
  <c r="F73" i="3"/>
  <c r="L72" i="3"/>
  <c r="K72" i="3"/>
  <c r="J72" i="3"/>
  <c r="F72" i="3"/>
  <c r="J71" i="3"/>
  <c r="J70" i="3"/>
  <c r="J69" i="3"/>
  <c r="J68" i="3"/>
  <c r="J67" i="3"/>
  <c r="J66" i="3"/>
  <c r="J65" i="3"/>
  <c r="J60" i="3"/>
  <c r="J59" i="3"/>
  <c r="J58" i="3"/>
  <c r="K52" i="3"/>
  <c r="F50" i="3"/>
  <c r="F52" i="3" s="1" a="1"/>
  <c r="F52" i="3" s="1"/>
  <c r="B4" i="3"/>
  <c r="B3" i="3"/>
  <c r="L1" i="3"/>
  <c r="B14" i="1"/>
  <c r="B12" i="1"/>
  <c r="B5" i="1"/>
  <c r="J17" i="3" l="1"/>
  <c r="J9" i="3"/>
  <c r="J47" i="3"/>
  <c r="J45" i="3"/>
  <c r="J43" i="3"/>
  <c r="J41" i="3"/>
  <c r="J39" i="3"/>
  <c r="J37" i="3"/>
  <c r="J35" i="3"/>
  <c r="J33" i="3"/>
  <c r="J31" i="3"/>
  <c r="J29" i="3"/>
  <c r="J27" i="3"/>
  <c r="J25" i="3"/>
  <c r="J23" i="3"/>
  <c r="J21" i="3"/>
  <c r="J19" i="3"/>
  <c r="J15" i="3"/>
  <c r="J13" i="3"/>
  <c r="J11" i="3"/>
  <c r="J46" i="3"/>
  <c r="J44" i="3"/>
  <c r="J42" i="3"/>
  <c r="J40" i="3"/>
  <c r="J38" i="3"/>
  <c r="J36" i="3"/>
  <c r="J34" i="3"/>
  <c r="J32" i="3"/>
  <c r="J30" i="3"/>
  <c r="J28" i="3"/>
  <c r="J26" i="3"/>
  <c r="J24" i="3"/>
  <c r="J22" i="3"/>
  <c r="J20" i="3"/>
  <c r="J18" i="3"/>
  <c r="J16" i="3"/>
  <c r="J14" i="3"/>
  <c r="J12" i="3"/>
  <c r="J10" i="3"/>
  <c r="J8" i="3"/>
  <c r="J7" i="3"/>
  <c r="J62" i="3"/>
  <c r="J75" i="3"/>
  <c r="M50" i="3"/>
  <c r="O32" i="3" l="1"/>
  <c r="L32" i="3"/>
  <c r="O29" i="3"/>
  <c r="L29" i="3"/>
  <c r="O34" i="3"/>
  <c r="L34" i="3"/>
  <c r="O31" i="3"/>
  <c r="L31" i="3"/>
  <c r="O36" i="3"/>
  <c r="L36" i="3"/>
  <c r="O21" i="3"/>
  <c r="L21" i="3"/>
  <c r="O16" i="3"/>
  <c r="L16" i="3"/>
  <c r="O15" i="3"/>
  <c r="L15" i="3"/>
  <c r="O22" i="3"/>
  <c r="L22" i="3"/>
  <c r="O38" i="3"/>
  <c r="L38" i="3"/>
  <c r="O19" i="3"/>
  <c r="L19" i="3"/>
  <c r="O35" i="3"/>
  <c r="L35" i="3"/>
  <c r="O17" i="3"/>
  <c r="L17" i="3"/>
  <c r="O8" i="3"/>
  <c r="L8" i="3"/>
  <c r="O24" i="3"/>
  <c r="L24" i="3"/>
  <c r="O40" i="3"/>
  <c r="L40" i="3"/>
  <c r="O37" i="3"/>
  <c r="L37" i="3"/>
  <c r="O10" i="3"/>
  <c r="L10" i="3"/>
  <c r="O26" i="3"/>
  <c r="L26" i="3"/>
  <c r="O42" i="3"/>
  <c r="L42" i="3"/>
  <c r="O23" i="3"/>
  <c r="L23" i="3"/>
  <c r="O39" i="3"/>
  <c r="L39" i="3"/>
  <c r="O47" i="3"/>
  <c r="L47" i="3"/>
  <c r="O33" i="3"/>
  <c r="L33" i="3"/>
  <c r="O28" i="3"/>
  <c r="L28" i="3"/>
  <c r="O25" i="3"/>
  <c r="L25" i="3"/>
  <c r="O41" i="3"/>
  <c r="L41" i="3"/>
  <c r="O11" i="3"/>
  <c r="L11" i="3"/>
  <c r="O45" i="3"/>
  <c r="L45" i="3"/>
  <c r="O18" i="3"/>
  <c r="L18" i="3"/>
  <c r="O13" i="3"/>
  <c r="L13" i="3"/>
  <c r="O20" i="3"/>
  <c r="L20" i="3"/>
  <c r="O9" i="3"/>
  <c r="L9" i="3"/>
  <c r="O12" i="3"/>
  <c r="L12" i="3"/>
  <c r="O44" i="3"/>
  <c r="L44" i="3"/>
  <c r="O14" i="3"/>
  <c r="L14" i="3"/>
  <c r="O30" i="3"/>
  <c r="L30" i="3"/>
  <c r="O46" i="3"/>
  <c r="L46" i="3"/>
  <c r="O27" i="3"/>
  <c r="L27" i="3"/>
  <c r="O43" i="3"/>
  <c r="L43" i="3"/>
  <c r="O7" i="3"/>
  <c r="L7" i="3"/>
  <c r="K61" i="3"/>
  <c r="J78" i="3"/>
  <c r="O50" i="3"/>
  <c r="M55" i="3"/>
  <c r="J50" i="3"/>
  <c r="K74" i="3"/>
  <c r="L67" i="3" l="1"/>
  <c r="K69" i="3"/>
  <c r="K77" i="3"/>
  <c r="F59" i="3"/>
  <c r="K66" i="3"/>
  <c r="K59" i="3"/>
  <c r="I52" i="3"/>
  <c r="B54" i="3" s="1"/>
  <c r="K60" i="3"/>
  <c r="K58" i="3"/>
  <c r="L74" i="3"/>
  <c r="F74" i="3"/>
  <c r="K67" i="3"/>
  <c r="K68" i="3"/>
  <c r="K70" i="3"/>
  <c r="L77" i="3"/>
  <c r="F60" i="3"/>
  <c r="L60" i="3"/>
  <c r="K71" i="3"/>
  <c r="K65" i="3"/>
  <c r="F61" i="3" l="1"/>
  <c r="L54" i="3"/>
  <c r="L55" i="3" s="1"/>
  <c r="L69" i="3"/>
  <c r="L71" i="3"/>
  <c r="F66" i="3"/>
  <c r="L66" i="3"/>
  <c r="L59" i="3"/>
  <c r="F70" i="3"/>
  <c r="F67" i="3"/>
  <c r="L58" i="3"/>
  <c r="K62" i="3"/>
  <c r="K75" i="3"/>
  <c r="F77" i="3"/>
  <c r="L61" i="3"/>
  <c r="F58" i="3"/>
  <c r="G58" i="3" s="1"/>
  <c r="H58" i="3" s="1"/>
  <c r="I58" i="3" s="1"/>
  <c r="L68" i="3"/>
  <c r="F65" i="3"/>
  <c r="F69" i="3"/>
  <c r="F71" i="3"/>
  <c r="L65" i="3"/>
  <c r="L50" i="3"/>
  <c r="F68" i="3"/>
  <c r="L70" i="3"/>
  <c r="F75" i="3" l="1"/>
  <c r="K78" i="3"/>
  <c r="L62" i="3"/>
  <c r="F62" i="3"/>
  <c r="L75" i="3"/>
  <c r="F78" i="3" l="1"/>
  <c r="L7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<sst xmlns="http://schemas.openxmlformats.org/spreadsheetml/2006/main" count="366" uniqueCount="207">
  <si>
    <t>Parms</t>
  </si>
  <si>
    <t>Filters</t>
  </si>
  <si>
    <t>Data Source</t>
  </si>
  <si>
    <t>DIST</t>
  </si>
  <si>
    <t>PARM_Account</t>
  </si>
  <si>
    <t>AG</t>
  </si>
  <si>
    <t>=</t>
  </si>
  <si>
    <t>S:MF</t>
  </si>
  <si>
    <t>Report Type</t>
  </si>
  <si>
    <t>LIST</t>
  </si>
  <si>
    <t>PARM_Date</t>
  </si>
  <si>
    <t>MV</t>
  </si>
  <si>
    <t>!</t>
  </si>
  <si>
    <t>Account</t>
  </si>
  <si>
    <t>Date</t>
  </si>
  <si>
    <t>Scty Only</t>
  </si>
  <si>
    <t>Y</t>
  </si>
  <si>
    <t>VALU</t>
  </si>
  <si>
    <t>REPORT</t>
  </si>
  <si>
    <t>Class</t>
  </si>
  <si>
    <t>0</t>
  </si>
  <si>
    <t>Periods</t>
  </si>
  <si>
    <t>1</t>
  </si>
  <si>
    <t>Period Type</t>
  </si>
  <si>
    <t>D</t>
  </si>
  <si>
    <t>Portfolio Holdings</t>
  </si>
  <si>
    <t>NUMBER OF TRADES</t>
  </si>
  <si>
    <t>MI TWENTYFOUR DYNAMIC BOND I GROSS ACC</t>
  </si>
  <si>
    <t>B5VNH23</t>
  </si>
  <si>
    <t>SEDOL</t>
  </si>
  <si>
    <t>ISIN</t>
  </si>
  <si>
    <t>ISIN Check</t>
  </si>
  <si>
    <t>Fund Name</t>
  </si>
  <si>
    <t>Market Value</t>
  </si>
  <si>
    <t>%</t>
  </si>
  <si>
    <t>Target</t>
  </si>
  <si>
    <t>Undeweight Overweight</t>
  </si>
  <si>
    <t>Deal Amount</t>
  </si>
  <si>
    <t>Post Trade %</t>
  </si>
  <si>
    <t>ARDEVORA GLOBAL EQUITY C</t>
  </si>
  <si>
    <t>B4XSRG3</t>
  </si>
  <si>
    <t>EMERGING MARKETS</t>
  </si>
  <si>
    <t>GLOBAL</t>
  </si>
  <si>
    <t>BOND</t>
  </si>
  <si>
    <t>S</t>
  </si>
  <si>
    <t>EUROPE</t>
  </si>
  <si>
    <t>UK</t>
  </si>
  <si>
    <t>ABSOLUTE RETURN</t>
  </si>
  <si>
    <t>PROPERTY</t>
  </si>
  <si>
    <t>USA</t>
  </si>
  <si>
    <t>ASIA PACIFIC</t>
  </si>
  <si>
    <t>COMMODITY</t>
  </si>
  <si>
    <t>Adjustment Cash</t>
  </si>
  <si>
    <t>Current</t>
  </si>
  <si>
    <t>Post Trade</t>
  </si>
  <si>
    <t>Uninvested Cash + Net Income + Adjustment Cash</t>
  </si>
  <si>
    <t>CASH/MONEY MARKETS</t>
  </si>
  <si>
    <t>Total Portfolio Value</t>
  </si>
  <si>
    <t>Total Deals</t>
  </si>
  <si>
    <t>New Cash</t>
  </si>
  <si>
    <t>Bonds</t>
  </si>
  <si>
    <t>Deal to Target</t>
  </si>
  <si>
    <t>TARGET Exposure</t>
  </si>
  <si>
    <t>CURRENT Exposure</t>
  </si>
  <si>
    <t>POST TRADE Exposure</t>
  </si>
  <si>
    <t>Total Bonds + Property</t>
  </si>
  <si>
    <t>Equities</t>
  </si>
  <si>
    <t>UK EQUITY INCOME</t>
  </si>
  <si>
    <t xml:space="preserve">IA 20-60% </t>
  </si>
  <si>
    <t xml:space="preserve">IA 0-35% </t>
  </si>
  <si>
    <t>JAPAN</t>
  </si>
  <si>
    <t>Total Equities</t>
  </si>
  <si>
    <t>Unit Quantity</t>
  </si>
  <si>
    <t>Currency</t>
  </si>
  <si>
    <t>Sector</t>
  </si>
  <si>
    <t>Manager's Comments</t>
  </si>
  <si>
    <t>MF</t>
  </si>
  <si>
    <t>BLACKROCK EMER MRKTS-A ACC</t>
  </si>
  <si>
    <t>GOLDMAN SACHS GBP INSTL LIQUIDITY FUND</t>
  </si>
  <si>
    <t>Janus Henderson Strategic Bond Fund I Acc</t>
  </si>
  <si>
    <t>MORGAN STANLEY LIQUIDITY STERLING INSTL SELECT</t>
  </si>
  <si>
    <t>MAN GLG UK INCOME PROFESSIONAL C ACC</t>
  </si>
  <si>
    <t>INVESTEC GLOBAL GOLD I ACC</t>
  </si>
  <si>
    <t>ARTEMIS UK SELECT FUND I ACC</t>
  </si>
  <si>
    <t>FIDELITY ILF - GBP F FLEX INC MONEY MARKET</t>
  </si>
  <si>
    <t>Ryl Lndn International Government Bond M Inc</t>
  </si>
  <si>
    <t>VANGUARD GLOBAL BOND INDEX FUND GBP HEDGED ACC</t>
  </si>
  <si>
    <t>HENDERSON EUROPEAN FOCUS I ACC</t>
  </si>
  <si>
    <t>Royal London UK Government Bond Fund Z Inc</t>
  </si>
  <si>
    <t>Stwrt Invstrs GEM Sustainability Class B Acc GBP</t>
  </si>
  <si>
    <t>ISHARES JAPAN EQ D ACC</t>
  </si>
  <si>
    <t>FIDELITY SOUTH EAST ASIA W ACC</t>
  </si>
  <si>
    <t>RATHBONE ETHICL BND I ACC "UF"</t>
  </si>
  <si>
    <t>RATHBONE GLOBAL OPPORTUNITIES INSTITUTIONAL ACC</t>
  </si>
  <si>
    <t>FIDELITY GLOBAL DIVIDEND W ACC</t>
  </si>
  <si>
    <t>MFM SLATER GROWTH CLASS P ACC</t>
  </si>
  <si>
    <t>HSBC EUROPEAN INDEX C ACC</t>
  </si>
  <si>
    <t>JPM NATURAL RESOURCES C ACC</t>
  </si>
  <si>
    <t>POLAR CAPITAL UK VALUE OPPORTUNITIES S GBP ACC</t>
  </si>
  <si>
    <t>L&amp;G GLOBAL INFRASTRUCTURE INDEX FUND C ACC</t>
  </si>
  <si>
    <t>VANGUARD U.S. GOVERNMENT BOND INDEX GBP HEDGED ACC</t>
  </si>
  <si>
    <t>M&amp;G Global Listed Infrastructure Fund GBP PP Acc</t>
  </si>
  <si>
    <t>M&amp;G North American Value Fund Sterling PP Acc</t>
  </si>
  <si>
    <t>M&amp;G Emerging Markets Bond Fund Sterling PP Acc</t>
  </si>
  <si>
    <t>M&amp;G Short Dated Corp Bd Fund Sterling PP Acc</t>
  </si>
  <si>
    <t>L&amp;G GLOBAL EMERGING MARKETS INDEX C ACC</t>
  </si>
  <si>
    <t>LEGAL &amp; GENERAL UK 100 INDEX TRUST C ACC</t>
  </si>
  <si>
    <t>LEGAL &amp; GENERAL US INDEX TRUST C CLASS ACC</t>
  </si>
  <si>
    <t>VANGUARD GLOBAL SHORT-TERM BOND INDEX GBP HDGD ACC</t>
  </si>
  <si>
    <t>L&amp;G SHORT DATED STERLING CORPORATE BOND INDEX FUND</t>
  </si>
  <si>
    <t>Janus Henderson UK Responsible Income Fund I Acc</t>
  </si>
  <si>
    <t>LF Ruffer Div Return I GBP Acc</t>
  </si>
  <si>
    <t>Fidelity Asia Pacific Opportunities Fund W Acc</t>
  </si>
  <si>
    <t>Comgest Growth Europe ex UK GBP SU Acc</t>
  </si>
  <si>
    <t>TWENTYFOUR CORP BOND-I GBP ACC</t>
  </si>
  <si>
    <t>JPM Global Bond Opp Fund C - Gross Acc</t>
  </si>
  <si>
    <t>GUINNESS GLOBAL EQUITY INCOME CLASS Y GBP ACCUMULA</t>
  </si>
  <si>
    <t>L&amp;G GLOBAL REAL ESTATE DIVIDEND INDEX C ACC</t>
  </si>
  <si>
    <t>GBP</t>
  </si>
  <si>
    <t>B0117C2</t>
  </si>
  <si>
    <t>B1XFGM2</t>
  </si>
  <si>
    <t>B2PLJG0</t>
  </si>
  <si>
    <t>B42LDN2</t>
  </si>
  <si>
    <t>B45XHL1 U</t>
  </si>
  <si>
    <t>B50W2R1</t>
  </si>
  <si>
    <t>B54J0L8</t>
  </si>
  <si>
    <t>B63M5F4</t>
  </si>
  <si>
    <t>B64TS99</t>
  </si>
  <si>
    <t>B6QQ9X9</t>
  </si>
  <si>
    <t>B6Y7NF4</t>
  </si>
  <si>
    <t>B77DQT1</t>
  </si>
  <si>
    <t>B7FQLN1</t>
  </si>
  <si>
    <t>B7GJPN7</t>
  </si>
  <si>
    <t>B7T0G90</t>
  </si>
  <si>
    <t>B80QGH2</t>
  </si>
  <si>
    <t>B88MP08</t>
  </si>
  <si>
    <t>BD81XV7</t>
  </si>
  <si>
    <t>BF0TZL7</t>
  </si>
  <si>
    <t>BFRTDB6</t>
  </si>
  <si>
    <t>BG03Y31</t>
  </si>
  <si>
    <t>BG03Y64</t>
  </si>
  <si>
    <t>BG03Y97</t>
  </si>
  <si>
    <t>BG08704</t>
  </si>
  <si>
    <t>BG0QP48</t>
  </si>
  <si>
    <t>BG0QPG0</t>
  </si>
  <si>
    <t>BG0QPL5</t>
  </si>
  <si>
    <t>BH65QG5</t>
  </si>
  <si>
    <t>BKGR3F0</t>
  </si>
  <si>
    <t>BLH3923</t>
  </si>
  <si>
    <t>BMWLQW8</t>
  </si>
  <si>
    <t>BQ1SWL9</t>
  </si>
  <si>
    <t>BQ1YBM1</t>
  </si>
  <si>
    <t>BSMTGG8</t>
  </si>
  <si>
    <t>BV9GHX7</t>
  </si>
  <si>
    <t>BVYPNY2</t>
  </si>
  <si>
    <t>BYW7CL1</t>
  </si>
  <si>
    <t>GB0005860944</t>
  </si>
  <si>
    <t>IE0006948016</t>
  </si>
  <si>
    <t>GB0007533820</t>
  </si>
  <si>
    <t>LU0875334848</t>
  </si>
  <si>
    <t>GB00B0117C28</t>
  </si>
  <si>
    <t>GB00B1XFGM25</t>
  </si>
  <si>
    <t>GB00B2PLJG05</t>
  </si>
  <si>
    <t>IE00B42LDN20</t>
  </si>
  <si>
    <t>GB00B45XHL18</t>
  </si>
  <si>
    <t>IE00B50W2R13</t>
  </si>
  <si>
    <t>GB00B54J0L85</t>
  </si>
  <si>
    <t>GB00B63M5F42</t>
  </si>
  <si>
    <t>GB00B64TS998</t>
  </si>
  <si>
    <t>GB00B6QQ9X96</t>
  </si>
  <si>
    <t>GB00B6Y7NF43</t>
  </si>
  <si>
    <t>GB00B77DQT14</t>
  </si>
  <si>
    <t>GB00B7FQLN12</t>
  </si>
  <si>
    <t>GB00B7GJPN73</t>
  </si>
  <si>
    <t>GB00B7T0G907</t>
  </si>
  <si>
    <t>GB00B80QGH28</t>
  </si>
  <si>
    <t>GB00B88MP089</t>
  </si>
  <si>
    <t>IE00BD81XV77</t>
  </si>
  <si>
    <t>GB00BF0TZL74</t>
  </si>
  <si>
    <t>IE00BFRTDB69</t>
  </si>
  <si>
    <t>GB00BG03Y314</t>
  </si>
  <si>
    <t>GB00BG03Y645</t>
  </si>
  <si>
    <t>GB00BG03Y975</t>
  </si>
  <si>
    <t>GB00BG087047</t>
  </si>
  <si>
    <t>GB00BG0QP489</t>
  </si>
  <si>
    <t>GB00BG0QPG09</t>
  </si>
  <si>
    <t>GB00BG0QPL51</t>
  </si>
  <si>
    <t>IE00BH65QG55</t>
  </si>
  <si>
    <t>GB00BKGR3F07</t>
  </si>
  <si>
    <t>GB00BLH39230</t>
  </si>
  <si>
    <t>GB00BMWLQW82</t>
  </si>
  <si>
    <t>GB00BQ1SWL90</t>
  </si>
  <si>
    <t>IE00BQ1YBM13</t>
  </si>
  <si>
    <t>IE00BSMTGG87</t>
  </si>
  <si>
    <t>GB00BV9GHX75</t>
  </si>
  <si>
    <t>IE00BVYPNY24</t>
  </si>
  <si>
    <t>GB00BYW7CL14</t>
  </si>
  <si>
    <t>IBOSS 1</t>
  </si>
  <si>
    <t>CIS</t>
  </si>
  <si>
    <t>Nexen</t>
  </si>
  <si>
    <t>Bond</t>
  </si>
  <si>
    <t>Europe</t>
  </si>
  <si>
    <t>Global</t>
  </si>
  <si>
    <t>Emerging Markets</t>
  </si>
  <si>
    <t>Absolute Return</t>
  </si>
  <si>
    <t>Asia Pacific</t>
  </si>
  <si>
    <t>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</si>
</sst>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;[Red]\(&quot;£&quot;#,##0.00\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6">
    <xf numFmtId="0" fontId="0" fillId="0" borderId="0" xfId="0"/>
    <xf numFmtId="15" fontId="0" fillId="0" borderId="0" xfId="0" applyNumberFormat="1"/>
    <xf numFmtId="14" fontId="0" fillId="0" borderId="0" xfId="0" applyNumberFormat="1"/>
    <xf numFmtId="10" fontId="0" fillId="2" borderId="0" xfId="0" applyNumberFormat="1" applyFill="1" applyAlignment="1" applyProtection="1">
      <alignment horizontal="right"/>
      <protection locked="0"/>
    </xf>
    <xf numFmtId="10" fontId="0" fillId="3" borderId="0" xfId="0" applyNumberFormat="1" applyFill="1" applyAlignment="1" applyProtection="1">
      <alignment horizontal="right"/>
      <protection locked="0"/>
    </xf>
    <xf numFmtId="0" fontId="0" fillId="0" borderId="0" xfId="0" applyProtection="1">
      <protection locked="0"/>
    </xf>
    <xf numFmtId="10" fontId="0" fillId="0" borderId="0" xfId="0" applyNumberFormat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164" fontId="0" fillId="0" borderId="0" xfId="0" applyNumberFormat="1" applyProtection="1"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right"/>
      <protection locked="0"/>
    </xf>
    <xf numFmtId="10" fontId="1" fillId="0" borderId="0" xfId="0" applyNumberFormat="1" applyFont="1" applyAlignment="1" applyProtection="1">
      <alignment horizontal="right"/>
      <protection locked="0"/>
    </xf>
    <xf numFmtId="164" fontId="1" fillId="0" borderId="0" xfId="0" applyNumberFormat="1" applyFont="1" applyAlignment="1" applyProtection="1">
      <alignment horizontal="center" vertical="center" wrapText="1"/>
      <protection locked="0"/>
    </xf>
    <xf numFmtId="164" fontId="1" fillId="0" borderId="1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left"/>
      <protection locked="0"/>
    </xf>
    <xf numFmtId="0" fontId="2" fillId="0" borderId="0" xfId="0" applyFont="1" applyProtection="1">
      <protection locked="0"/>
    </xf>
    <xf numFmtId="0" fontId="0" fillId="4" borderId="0" xfId="0" applyFill="1" applyProtection="1">
      <protection locked="0"/>
    </xf>
    <xf numFmtId="164" fontId="0" fillId="4" borderId="1" xfId="0" applyNumberFormat="1" applyFill="1" applyBorder="1" applyAlignment="1" applyProtection="1">
      <alignment horizontal="right"/>
      <protection locked="0"/>
    </xf>
    <xf numFmtId="164" fontId="0" fillId="5" borderId="2" xfId="0" applyNumberFormat="1" applyFill="1" applyBorder="1" applyProtection="1">
      <protection locked="0"/>
    </xf>
    <xf numFmtId="0" fontId="1" fillId="0" borderId="0" xfId="0" applyFont="1" applyAlignment="1" applyProtection="1">
      <alignment wrapText="1"/>
      <protection locked="0"/>
    </xf>
    <xf numFmtId="10" fontId="1" fillId="0" borderId="0" xfId="0" applyNumberFormat="1" applyFont="1" applyAlignment="1" applyProtection="1">
      <alignment horizontal="center" vertical="center" wrapText="1"/>
      <protection locked="0"/>
    </xf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center" vertical="center" wrapText="1"/>
    </xf>
    <xf numFmtId="10" fontId="0" fillId="0" borderId="0" xfId="0" applyNumberFormat="1" applyAlignment="1">
      <alignment horizontal="right"/>
    </xf>
    <xf numFmtId="164" fontId="0" fillId="4" borderId="0" xfId="0" applyNumberFormat="1" applyFill="1" applyAlignment="1">
      <alignment horizontal="right"/>
    </xf>
    <xf numFmtId="164" fontId="2" fillId="0" borderId="0" xfId="0" applyNumberFormat="1" applyFont="1" applyAlignment="1">
      <alignment horizontal="right"/>
    </xf>
    <xf numFmtId="10" fontId="1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10" fontId="0" fillId="0" borderId="0" xfId="0" applyNumberFormat="1"/>
    <xf numFmtId="0" fontId="1" fillId="0" borderId="0" xfId="0" applyFont="1"/>
    <xf numFmtId="10" fontId="1" fillId="0" borderId="0" xfId="0" applyNumberFormat="1" applyFont="1" applyAlignment="1">
      <alignment horizontal="right"/>
    </xf>
    <xf numFmtId="10" fontId="0" fillId="0" borderId="0" xfId="0" applyNumberFormat="1" applyAlignment="1">
      <alignment horizontal="left"/>
    </xf>
    <xf numFmtId="164" fontId="0" fillId="0" borderId="3" xfId="0" applyNumberFormat="1" applyBorder="1"/>
    <xf numFmtId="0" fontId="0" fillId="0" borderId="3" xfId="0" applyBorder="1"/>
    <xf numFmtId="164" fontId="0" fillId="0" borderId="4" xfId="0" applyNumberFormat="1" applyBorder="1"/>
    <xf numFmtId="0" fontId="1" fillId="5" borderId="5" xfId="1" applyFont="1" applyFill="1" applyBorder="1" applyAlignment="1" applyProtection="1">
      <alignment horizontal="left"/>
      <protection locked="0"/>
    </xf>
    <xf numFmtId="0" fontId="2" fillId="5" borderId="6" xfId="1" applyFill="1" applyBorder="1" applyAlignment="1" applyProtection="1">
      <alignment horizontal="left"/>
      <protection locked="0"/>
    </xf>
    <xf numFmtId="10" fontId="1" fillId="0" borderId="7" xfId="0" applyNumberFormat="1" applyFont="1" applyBorder="1" applyAlignment="1" applyProtection="1">
      <alignment horizontal="center"/>
      <protection locked="0"/>
    </xf>
    <xf numFmtId="164" fontId="1" fillId="0" borderId="8" xfId="0" applyNumberFormat="1" applyFont="1" applyBorder="1" applyAlignment="1" applyProtection="1">
      <alignment horizontal="center"/>
      <protection locked="0"/>
    </xf>
    <xf numFmtId="10" fontId="0" fillId="0" borderId="8" xfId="0" applyNumberFormat="1" applyBorder="1" applyAlignment="1">
      <alignment horizontal="center"/>
    </xf>
    <xf numFmtId="10" fontId="0" fillId="0" borderId="7" xfId="0" applyNumberFormat="1" applyBorder="1" applyAlignment="1" applyProtection="1">
      <alignment horizontal="center"/>
      <protection locked="0"/>
    </xf>
    <xf numFmtId="164" fontId="0" fillId="0" borderId="9" xfId="0" applyNumberFormat="1" applyBorder="1" applyAlignment="1">
      <alignment horizontal="center"/>
    </xf>
    <xf numFmtId="164" fontId="0" fillId="0" borderId="8" xfId="0" applyNumberFormat="1" applyBorder="1" applyAlignment="1" applyProtection="1">
      <alignment horizontal="center"/>
      <protection locked="0"/>
    </xf>
    <xf numFmtId="164" fontId="0" fillId="6" borderId="1" xfId="0" applyNumberFormat="1" applyFill="1" applyBorder="1" applyProtection="1">
      <protection locked="0"/>
    </xf>
    <xf numFmtId="164" fontId="1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Font="1"/>
    <xf numFmtId="0" fontId="1" fillId="5" borderId="6" xfId="1" applyFont="1" applyFill="1" applyBorder="1" applyAlignment="1" applyProtection="1">
      <alignment horizontal="left"/>
      <protection locked="0"/>
    </xf>
    <xf numFmtId="0" fontId="0" fillId="0" borderId="0" xfId="0" applyAlignment="1" applyProtection="1">
      <alignment horizontal="center"/>
      <protection locked="0"/>
    </xf>
    <xf numFmtId="10" fontId="0" fillId="0" borderId="0" xfId="0" applyNumberFormat="1" applyAlignment="1" applyProtection="1">
      <alignment horizontal="left" wrapText="1"/>
      <protection locked="0"/>
    </xf>
    <xf numFmtId="164" fontId="0" fillId="0" borderId="0" xfId="0" applyNumberFormat="1" applyAlignment="1" applyProtection="1">
      <alignment horizontal="right"/>
      <protection locked="0"/>
    </xf>
    <xf numFmtId="10" fontId="1" fillId="7" borderId="10" xfId="0" applyNumberFormat="1" applyFont="1" applyFill="1" applyBorder="1" applyAlignment="1" applyProtection="1">
      <alignment horizontal="left" wrapText="1"/>
      <protection locked="0"/>
    </xf>
    <xf numFmtId="2" fontId="1" fillId="7" borderId="11" xfId="0" applyNumberFormat="1" applyFont="1" applyFill="1" applyBorder="1" applyAlignment="1">
      <alignment horizontal="right" vertical="center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6" borderId="0" xfId="0" applyFont="1" applyFill="1" applyProtection="1">
      <protection locked="0"/>
    </xf>
    <xf numFmtId="0" fontId="0" fillId="0" borderId="0" xfId="0" applyProtection="1">
      <protection locked="0"/>
    </xf>
    <xf numFmtId="10" fontId="1" fillId="3" borderId="8" xfId="0" applyNumberFormat="1" applyFont="1" applyFill="1" applyBorder="1" applyAlignment="1" applyProtection="1">
      <alignment horizontal="center"/>
      <protection locked="0"/>
    </xf>
    <xf numFmtId="0" fontId="0" fillId="0" borderId="9" xfId="0" applyBorder="1" applyProtection="1"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0" fillId="0" borderId="12" xfId="0" applyBorder="1" applyAlignment="1" applyProtection="1">
      <alignment horizontal="left"/>
      <protection locked="0"/>
    </xf>
    <xf numFmtId="0" fontId="0" fillId="0" borderId="4" xfId="0" applyBorder="1" applyProtection="1">
      <protection locked="0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left"/>
      <protection locked="0"/>
    </xf>
  </cellXfs>
  <cellStyles count="2">
    <cellStyle name="Normal" xfId="0" builtinId="0"/>
    <cellStyle name="Normal 2" xfId="1" xr:uid="{00000000-0005-0000-0000-000001000000}"/>
  </cellStyles>
  <dxfs count="19">
    <dxf>
      <font>
        <b/>
        <color rgb="FFFF0000"/>
      </font>
      <fill>
        <patternFill>
          <bgColor rgb="FFFFFF99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6" tint="0.39994506668294322"/>
        </patternFill>
      </fill>
    </dxf>
    <dxf>
      <font>
        <b/>
        <color rgb="FFFF0000"/>
      </font>
    </dxf>
    <dxf>
      <font>
        <b/>
      </font>
    </dxf>
    <dxf>
      <font>
        <b/>
        <color rgb="FFFF0000"/>
      </font>
    </dxf>
    <dxf>
      <font>
        <b/>
        <color rgb="FFFF0000"/>
      </font>
      <fill>
        <patternFill>
          <bgColor rgb="FFFFFF99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6" tint="0.39994506668294322"/>
        </patternFill>
      </fill>
    </dxf>
    <dxf>
      <font>
        <b/>
        <color rgb="FFFF0000"/>
      </font>
      <fill>
        <patternFill>
          <bgColor rgb="FFFFFF99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6" tint="0.39994506668294322"/>
        </patternFill>
      </fill>
    </dxf>
    <dxf>
      <font>
        <b/>
        <color rgb="FFFF0000"/>
      </font>
    </dxf>
    <dxf>
      <font>
        <b/>
        <color rgb="FFFF0000"/>
      </font>
    </dxf>
    <dxf>
      <font>
        <b/>
        <color rgb="FFFF0000"/>
      </font>
    </dxf>
    <dxf>
      <font>
        <b/>
        <color rgb="FFFF0000"/>
      </font>
    </dxf>
    <dxf>
      <font>
        <b/>
      </font>
    </dxf>
    <dxf>
      <font>
        <b/>
      </font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6"/>
  <sheetViews>
    <sheetView workbookViewId="0">
      <selection activeCell="I3" sqref="I3"/>
    </sheetView>
  </sheetViews>
  <sheetFormatPr defaultRowHeight="12.75" x14ac:dyDescent="0.2"/>
  <cols>
    <col min="1" max="1" width="11.28515625" bestFit="1" customWidth="1"/>
    <col min="4" max="4" width="14.42578125" bestFit="1" customWidth="1"/>
    <col min="5" max="5" width="10.140625" bestFit="1" customWidth="1"/>
  </cols>
  <sheetData>
    <row r="1" spans="1:9" x14ac:dyDescent="0.2">
      <c r="D1" t="s">
        <v>0</v>
      </c>
      <c r="G1" t="s">
        <v>1</v>
      </c>
    </row>
    <row r="2" spans="1:9" x14ac:dyDescent="0.2">
      <c r="A2" t="s">
        <v>2</v>
      </c>
      <c r="B2" t="s">
        <v>3</v>
      </c>
      <c r="D2" t="s">
        <v>4</v>
      </c>
      <c r="E2">
        <v>564536</v>
      </c>
      <c r="G2" t="s">
        <v>5</v>
      </c>
      <c r="H2" t="s">
        <v>6</v>
      </c>
      <c r="I2" t="s">
        <v>7</v>
      </c>
    </row>
    <row r="3" spans="1:9" x14ac:dyDescent="0.2">
      <c r="A3" t="s">
        <v>8</v>
      </c>
      <c r="B3" t="s">
        <v>9</v>
      </c>
      <c r="D3" t="s">
        <v>10</v>
      </c>
      <c r="E3" s="2">
        <v>45035</v>
      </c>
      <c r="G3" t="s">
        <v>11</v>
      </c>
      <c r="H3" t="s">
        <v>12</v>
      </c>
      <c r="I3">
        <v>0</v>
      </c>
    </row>
    <row r="5" spans="1:9" x14ac:dyDescent="0.2">
      <c r="A5" t="s">
        <v>13</v>
      </c>
      <c r="B5">
        <f>PARM_Account</f>
        <v>564536</v>
      </c>
    </row>
    <row r="6" spans="1:9" x14ac:dyDescent="0.2">
      <c r="A6" t="s">
        <v>14</v>
      </c>
      <c r="B6" s="1">
        <f>PARM_Date</f>
        <v>45035</v>
      </c>
    </row>
    <row r="7" spans="1:9" x14ac:dyDescent="0.2">
      <c r="A7" t="s">
        <v>15</v>
      </c>
      <c r="B7" t="s">
        <v>16</v>
      </c>
    </row>
    <row r="9" spans="1:9" x14ac:dyDescent="0.2">
      <c r="A9" t="s">
        <v>2</v>
      </c>
      <c r="B9" t="s">
        <v>17</v>
      </c>
    </row>
    <row r="10" spans="1:9" x14ac:dyDescent="0.2">
      <c r="A10" t="s">
        <v>8</v>
      </c>
      <c r="B10" t="s">
        <v>18</v>
      </c>
    </row>
    <row r="12" spans="1:9" x14ac:dyDescent="0.2">
      <c r="A12" t="s">
        <v>13</v>
      </c>
      <c r="B12">
        <f>PARM_Account</f>
        <v>564536</v>
      </c>
    </row>
    <row r="13" spans="1:9" x14ac:dyDescent="0.2">
      <c r="A13" t="s">
        <v>19</v>
      </c>
      <c r="B13" t="s">
        <v>20</v>
      </c>
    </row>
    <row r="14" spans="1:9" x14ac:dyDescent="0.2">
      <c r="A14" t="s">
        <v>14</v>
      </c>
      <c r="B14" s="1">
        <f>PARM_Date</f>
        <v>45035</v>
      </c>
    </row>
    <row r="15" spans="1:9" x14ac:dyDescent="0.2">
      <c r="A15" t="s">
        <v>21</v>
      </c>
      <c r="B15" t="s">
        <v>22</v>
      </c>
    </row>
    <row r="16" spans="1:9" x14ac:dyDescent="0.2">
      <c r="A16" t="s">
        <v>23</v>
      </c>
      <c r="B16" t="s">
        <v>24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V78"/>
  <sheetViews>
    <sheetView showGridLines="0" tabSelected="1" zoomScaleNormal="100" workbookViewId="0">
      <selection activeCell="J21" sqref="J21"/>
    </sheetView>
  </sheetViews>
  <sheetFormatPr defaultColWidth="9.140625" defaultRowHeight="12.75" x14ac:dyDescent="0.2"/>
  <cols>
    <col min="1" max="1" width="8" style="5" customWidth="1"/>
    <col min="2" max="4" width="15.85546875" style="14" customWidth="1"/>
    <col min="5" max="5" width="62.7109375" style="5" customWidth="1"/>
    <col min="6" max="6" width="15.42578125" style="8" customWidth="1"/>
    <col min="7" max="7" width="12.7109375" style="5" hidden="1" customWidth="1"/>
    <col min="8" max="8" width="5.5703125" style="5" hidden="1" customWidth="1"/>
    <col min="9" max="9" width="5.140625" style="5" hidden="1" customWidth="1"/>
    <col min="10" max="10" width="12" style="6" customWidth="1"/>
    <col min="11" max="11" width="12.85546875" style="6" customWidth="1"/>
    <col min="12" max="12" width="15.5703125" style="21" customWidth="1"/>
    <col min="13" max="13" width="12.7109375" style="7" bestFit="1" customWidth="1"/>
    <col min="14" max="14" width="11.28515625" style="21" customWidth="1"/>
    <col min="15" max="15" width="9.140625" style="5" customWidth="1"/>
    <col min="16" max="16" width="15.140625" style="5" customWidth="1"/>
    <col min="17" max="17" width="19.85546875" style="5" bestFit="1" customWidth="1"/>
    <col min="18" max="20" width="9.140625" style="5" customWidth="1"/>
    <col min="21" max="21" width="45.140625" style="5" bestFit="1" customWidth="1"/>
    <col min="22" max="22" width="9.140625" style="5" customWidth="1"/>
    <col min="23" max="16384" width="9.140625" style="5"/>
  </cols>
  <sheetData>
    <row r="1" spans="1:22" ht="26.25" customHeight="1" thickBot="1" x14ac:dyDescent="0.25">
      <c r="B1" s="64" t="s">
        <v>25</v>
      </c>
      <c r="C1" s="60"/>
      <c r="D1" s="60"/>
      <c r="E1" s="60"/>
      <c r="F1" s="60"/>
      <c r="G1" s="60"/>
      <c r="H1" s="60"/>
      <c r="I1" s="60"/>
      <c r="J1" s="60"/>
      <c r="K1" s="51" t="s">
        <v>26</v>
      </c>
      <c r="L1" s="52">
        <f>COUNT(N:N)</f>
        <v>2</v>
      </c>
      <c r="M1" s="50"/>
    </row>
    <row r="2" spans="1:22" x14ac:dyDescent="0.2">
      <c r="B2" s="64" t="s">
        <v>197</v>
      </c>
      <c r="C2" s="60"/>
      <c r="D2" s="60"/>
      <c r="E2" s="60"/>
      <c r="F2" s="60"/>
      <c r="G2" s="60"/>
      <c r="H2" s="60"/>
      <c r="I2" s="60"/>
      <c r="J2" s="60"/>
      <c r="K2" s="49"/>
    </row>
    <row r="3" spans="1:22" x14ac:dyDescent="0.2">
      <c r="B3" s="65" t="str">
        <f>IF(IOControl!E3&lt;1,"",""&amp;TEXT(IOControl!E3,"dd mmm yyyy"))</f>
        <v>19 Apr 2023</v>
      </c>
      <c r="C3" s="60"/>
      <c r="D3" s="60"/>
      <c r="E3" s="60"/>
      <c r="F3" s="60"/>
      <c r="G3" s="60"/>
      <c r="H3" s="60"/>
      <c r="I3" s="60"/>
      <c r="J3" s="60"/>
    </row>
    <row r="4" spans="1:22" x14ac:dyDescent="0.2">
      <c r="B4" s="54">
        <f>IF(PARM_Account&lt;1,"",PARM_Account)</f>
        <v>564536</v>
      </c>
      <c r="C4" s="54"/>
      <c r="D4" s="54"/>
    </row>
    <row r="5" spans="1:22" x14ac:dyDescent="0.2">
      <c r="U5" s="5" t="s">
        <v>27</v>
      </c>
      <c r="V5" s="14" t="s">
        <v>28</v>
      </c>
    </row>
    <row r="6" spans="1:22" s="9" customFormat="1" ht="25.5" customHeight="1" x14ac:dyDescent="0.2">
      <c r="B6" s="53" t="s">
        <v>29</v>
      </c>
      <c r="C6" s="53" t="s">
        <v>30</v>
      </c>
      <c r="D6" s="53" t="s">
        <v>31</v>
      </c>
      <c r="E6" s="9" t="s">
        <v>32</v>
      </c>
      <c r="F6" s="10" t="s">
        <v>33</v>
      </c>
      <c r="G6" s="9" t="s">
        <v>72</v>
      </c>
      <c r="H6" s="9" t="s">
        <v>73</v>
      </c>
      <c r="J6" s="11" t="s">
        <v>34</v>
      </c>
      <c r="K6" s="11" t="s">
        <v>35</v>
      </c>
      <c r="L6" s="22" t="s">
        <v>36</v>
      </c>
      <c r="N6" s="45" t="s">
        <v>37</v>
      </c>
      <c r="O6" s="22" t="s">
        <v>38</v>
      </c>
      <c r="P6" s="55" t="s">
        <v>74</v>
      </c>
      <c r="Q6" s="55" t="s">
        <v>75</v>
      </c>
      <c r="U6" s="15" t="s">
        <v>39</v>
      </c>
      <c r="V6" s="14" t="s">
        <v>40</v>
      </c>
    </row>
    <row r="7" spans="1:22" x14ac:dyDescent="0.2">
      <c r="A7" s="5" t="s">
        <v>76</v>
      </c>
      <c r="B7" s="14">
        <v>586094</v>
      </c>
      <c r="C7" s="14" t="s">
        <v>156</v>
      </c>
      <c r="D7" s="48" t="str">
        <f>IF(RIGHT(LEFT(C7,11),7)=B7,"OK","CHECK")</f>
        <v>CHECK</v>
      </c>
      <c r="E7" s="5" t="s">
        <v>77</v>
      </c>
      <c r="F7" s="8">
        <v>173743.68</v>
      </c>
      <c r="G7" s="5">
        <v>31827.016</v>
      </c>
      <c r="H7" s="5" t="s">
        <v>118</v>
      </c>
      <c r="J7" s="6">
        <f>F7/F$52</f>
        <v>1.0737816525225628E-2</v>
      </c>
      <c r="K7" s="3">
        <v>0.01</v>
      </c>
      <c r="L7" s="21">
        <f>ROUND((K7-J7)*F$52,-2)</f>
        <v>-11900</v>
      </c>
      <c r="N7" s="44"/>
      <c r="O7" s="23">
        <f>IF(OR(N7="",F7=""),J7,(F7+N7)/$F$52)</f>
        <v>1.0737816525225628E-2</v>
      </c>
      <c r="P7" s="15" t="s">
        <v>41</v>
      </c>
      <c r="Q7" s="5" t="s">
        <v>198</v>
      </c>
    </row>
    <row r="8" spans="1:22" s="56" customFormat="1" x14ac:dyDescent="0.2">
      <c r="A8" s="56" t="s">
        <v>76</v>
      </c>
      <c r="B8" s="14">
        <v>694801</v>
      </c>
      <c r="C8" s="14" t="s">
        <v>157</v>
      </c>
      <c r="D8" s="48" t="str">
        <f>IF(RIGHT(LEFT(C8,11),7)=B8,"OK","CHECK")</f>
        <v>CHECK</v>
      </c>
      <c r="E8" s="56" t="s">
        <v>78</v>
      </c>
      <c r="F8" s="8">
        <v>928200</v>
      </c>
      <c r="G8" s="56">
        <v>928200</v>
      </c>
      <c r="H8" s="56" t="s">
        <v>118</v>
      </c>
      <c r="J8" s="6">
        <f>F8/F$52</f>
        <v>5.7365201995919671E-2</v>
      </c>
      <c r="K8" s="3">
        <v>0.06</v>
      </c>
      <c r="L8" s="21">
        <f>ROUND((K8-J8)*F$52,-2)</f>
        <v>42600</v>
      </c>
      <c r="M8" s="7"/>
      <c r="N8" s="44"/>
      <c r="O8" s="23">
        <f>IF(OR(N8="",F8=""),J8,(F8+N8)/$F$52)</f>
        <v>5.7365201995919671E-2</v>
      </c>
      <c r="P8" s="15" t="s">
        <v>56</v>
      </c>
      <c r="Q8" s="56" t="s">
        <v>199</v>
      </c>
    </row>
    <row r="9" spans="1:22" s="56" customFormat="1" x14ac:dyDescent="0.2">
      <c r="A9" s="56" t="s">
        <v>76</v>
      </c>
      <c r="B9" s="14">
        <v>753382</v>
      </c>
      <c r="C9" s="14" t="s">
        <v>158</v>
      </c>
      <c r="D9" s="48" t="str">
        <f>IF(RIGHT(LEFT(C9,11),7)=B9,"OK","CHECK")</f>
        <v>CHECK</v>
      </c>
      <c r="E9" s="56" t="s">
        <v>79</v>
      </c>
      <c r="F9" s="8">
        <v>653526.17000000004</v>
      </c>
      <c r="G9" s="56">
        <v>195140.69</v>
      </c>
      <c r="H9" s="56" t="s">
        <v>118</v>
      </c>
      <c r="J9" s="6">
        <f>F9/F$52</f>
        <v>4.0389636664156153E-2</v>
      </c>
      <c r="K9" s="3">
        <v>0.04</v>
      </c>
      <c r="L9" s="21">
        <f>ROUND((K9-J9)*F$52,-2)</f>
        <v>-6300</v>
      </c>
      <c r="M9" s="7"/>
      <c r="N9" s="44"/>
      <c r="O9" s="23">
        <f>IF(OR(N9="",F9=""),J9,(F9+N9)/$F$52)</f>
        <v>4.0389636664156153E-2</v>
      </c>
      <c r="P9" s="15" t="s">
        <v>43</v>
      </c>
      <c r="Q9" s="56" t="s">
        <v>198</v>
      </c>
    </row>
    <row r="10" spans="1:22" s="56" customFormat="1" x14ac:dyDescent="0.2">
      <c r="A10" s="56" t="s">
        <v>76</v>
      </c>
      <c r="B10" s="14">
        <v>7533484</v>
      </c>
      <c r="C10" s="14" t="s">
        <v>159</v>
      </c>
      <c r="D10" s="48" t="str">
        <f>IF(RIGHT(LEFT(C10,11),7)=B10,"OK","CHECK")</f>
        <v>CHECK</v>
      </c>
      <c r="E10" s="56" t="s">
        <v>80</v>
      </c>
      <c r="F10" s="8">
        <v>1054200</v>
      </c>
      <c r="G10" s="56">
        <v>1054200</v>
      </c>
      <c r="H10" s="56" t="s">
        <v>118</v>
      </c>
      <c r="J10" s="6">
        <f>F10/F$52</f>
        <v>6.5152333488578448E-2</v>
      </c>
      <c r="K10" s="3">
        <v>0.06</v>
      </c>
      <c r="L10" s="21">
        <f>ROUND((K10-J10)*F$52,-2)</f>
        <v>-83400</v>
      </c>
      <c r="M10" s="7"/>
      <c r="N10" s="44"/>
      <c r="O10" s="23">
        <f>IF(OR(N10="",F10=""),J10,(F10+N10)/$F$52)</f>
        <v>6.5152333488578448E-2</v>
      </c>
      <c r="P10" s="15" t="s">
        <v>56</v>
      </c>
      <c r="Q10" s="56" t="s">
        <v>199</v>
      </c>
    </row>
    <row r="11" spans="1:22" s="56" customFormat="1" x14ac:dyDescent="0.2">
      <c r="A11" s="56" t="s">
        <v>76</v>
      </c>
      <c r="B11" s="14" t="s">
        <v>119</v>
      </c>
      <c r="C11" s="14" t="s">
        <v>160</v>
      </c>
      <c r="D11" s="48" t="str">
        <f>IF(RIGHT(LEFT(C11,11),7)=B11,"OK","CHECK")</f>
        <v>OK</v>
      </c>
      <c r="E11" s="56" t="s">
        <v>81</v>
      </c>
      <c r="F11" s="8">
        <v>145872.26999999999</v>
      </c>
      <c r="G11" s="56">
        <v>42086.633999999998</v>
      </c>
      <c r="H11" s="56" t="s">
        <v>118</v>
      </c>
      <c r="J11" s="6">
        <f>F11/F$52</f>
        <v>9.0152900604970176E-3</v>
      </c>
      <c r="K11" s="3">
        <v>0.01</v>
      </c>
      <c r="L11" s="21">
        <f>ROUND((K11-J11)*F$52,-2)</f>
        <v>15900</v>
      </c>
      <c r="M11" s="7"/>
      <c r="N11" s="44"/>
      <c r="O11" s="23">
        <f>IF(OR(N11="",F11=""),J11,(F11+N11)/$F$52)</f>
        <v>9.0152900604970176E-3</v>
      </c>
      <c r="P11" s="15" t="s">
        <v>46</v>
      </c>
      <c r="Q11" s="56" t="s">
        <v>198</v>
      </c>
    </row>
    <row r="12" spans="1:22" s="56" customFormat="1" x14ac:dyDescent="0.2">
      <c r="A12" s="56" t="s">
        <v>76</v>
      </c>
      <c r="B12" s="14" t="s">
        <v>120</v>
      </c>
      <c r="C12" s="14" t="s">
        <v>161</v>
      </c>
      <c r="D12" s="48" t="str">
        <f>IF(RIGHT(LEFT(C12,11),7)=B12,"OK","CHECK")</f>
        <v>OK</v>
      </c>
      <c r="E12" s="56" t="s">
        <v>82</v>
      </c>
      <c r="F12" s="8">
        <v>191403.39</v>
      </c>
      <c r="G12" s="56">
        <v>87175.894</v>
      </c>
      <c r="H12" s="56" t="s">
        <v>118</v>
      </c>
      <c r="J12" s="6">
        <f>F12/F$52</f>
        <v>1.1829233064052782E-2</v>
      </c>
      <c r="K12" s="3">
        <v>0.01</v>
      </c>
      <c r="L12" s="21">
        <f>ROUND((K12-J12)*F$52,-2)</f>
        <v>-29600</v>
      </c>
      <c r="M12" s="7"/>
      <c r="N12" s="44"/>
      <c r="O12" s="23">
        <f>IF(OR(N12="",F12=""),J12,(F12+N12)/$F$52)</f>
        <v>1.1829233064052782E-2</v>
      </c>
      <c r="P12" s="15" t="s">
        <v>51</v>
      </c>
      <c r="Q12" s="56" t="s">
        <v>198</v>
      </c>
    </row>
    <row r="13" spans="1:22" s="56" customFormat="1" x14ac:dyDescent="0.2">
      <c r="A13" s="56" t="s">
        <v>44</v>
      </c>
      <c r="B13" s="14" t="s">
        <v>121</v>
      </c>
      <c r="C13" s="14" t="s">
        <v>162</v>
      </c>
      <c r="D13" s="48" t="str">
        <f>IF(RIGHT(LEFT(C13,11),7)=B13,"OK","CHECK")</f>
        <v>OK</v>
      </c>
      <c r="E13" s="56" t="s">
        <v>83</v>
      </c>
      <c r="F13" s="8">
        <v>158670.71</v>
      </c>
      <c r="G13" s="56">
        <v>19852.45</v>
      </c>
      <c r="H13" s="56" t="s">
        <v>118</v>
      </c>
      <c r="J13" s="6">
        <f>F13/F$52</f>
        <v>9.806267323837525E-3</v>
      </c>
      <c r="K13" s="3">
        <v>0.01</v>
      </c>
      <c r="L13" s="21">
        <f>ROUND((K13-J13)*F$52,-2)</f>
        <v>3100</v>
      </c>
      <c r="M13" s="7"/>
      <c r="N13" s="44"/>
      <c r="O13" s="23">
        <f>IF(OR(N13="",F13=""),J13,(F13+N13)/$F$52)</f>
        <v>9.806267323837525E-3</v>
      </c>
      <c r="P13" s="15" t="s">
        <v>46</v>
      </c>
      <c r="Q13" s="56" t="s">
        <v>198</v>
      </c>
    </row>
    <row r="14" spans="1:22" s="56" customFormat="1" x14ac:dyDescent="0.2">
      <c r="A14" s="56" t="s">
        <v>76</v>
      </c>
      <c r="B14" s="14" t="s">
        <v>122</v>
      </c>
      <c r="C14" s="14" t="s">
        <v>163</v>
      </c>
      <c r="D14" s="48" t="str">
        <f>IF(RIGHT(LEFT(C14,11),7)=B14,"OK","CHECK")</f>
        <v>OK</v>
      </c>
      <c r="E14" s="56" t="s">
        <v>84</v>
      </c>
      <c r="F14" s="8">
        <v>956200</v>
      </c>
      <c r="G14" s="56">
        <v>956200</v>
      </c>
      <c r="H14" s="56" t="s">
        <v>118</v>
      </c>
      <c r="J14" s="6">
        <f>F14/F$52</f>
        <v>5.9095675660954951E-2</v>
      </c>
      <c r="K14" s="3">
        <v>0.06</v>
      </c>
      <c r="L14" s="21">
        <f>ROUND((K14-J14)*F$52,-2)</f>
        <v>14600</v>
      </c>
      <c r="M14" s="7"/>
      <c r="N14" s="44"/>
      <c r="O14" s="23">
        <f>IF(OR(N14="",F14=""),J14,(F14+N14)/$F$52)</f>
        <v>5.9095675660954951E-2</v>
      </c>
      <c r="P14" s="15" t="s">
        <v>56</v>
      </c>
      <c r="Q14" s="56" t="s">
        <v>199</v>
      </c>
    </row>
    <row r="15" spans="1:22" s="56" customFormat="1" x14ac:dyDescent="0.2">
      <c r="A15" s="56" t="s">
        <v>76</v>
      </c>
      <c r="B15" s="14" t="s">
        <v>123</v>
      </c>
      <c r="C15" s="14" t="s">
        <v>164</v>
      </c>
      <c r="D15" s="48" t="str">
        <f>IF(RIGHT(LEFT(C15,11),7)=B15,"OK","CHECK")</f>
        <v>CHECK</v>
      </c>
      <c r="E15" s="56" t="s">
        <v>85</v>
      </c>
      <c r="F15" s="8">
        <v>472580.77</v>
      </c>
      <c r="G15" s="56">
        <v>455719.16230000003</v>
      </c>
      <c r="H15" s="56" t="s">
        <v>118</v>
      </c>
      <c r="J15" s="6">
        <f>F15/F$52</f>
        <v>2.9206734895967739E-2</v>
      </c>
      <c r="K15" s="3">
        <v>0.03</v>
      </c>
      <c r="L15" s="21">
        <f>ROUND((K15-J15)*F$52,-2)</f>
        <v>12800</v>
      </c>
      <c r="M15" s="7"/>
      <c r="N15" s="44"/>
      <c r="O15" s="23">
        <f>IF(OR(N15="",F15=""),J15,(F15+N15)/$F$52)</f>
        <v>2.9206734895967739E-2</v>
      </c>
      <c r="P15" s="15" t="s">
        <v>43</v>
      </c>
      <c r="Q15" s="56" t="s">
        <v>198</v>
      </c>
    </row>
    <row r="16" spans="1:22" s="56" customFormat="1" x14ac:dyDescent="0.2">
      <c r="A16" s="56" t="s">
        <v>76</v>
      </c>
      <c r="B16" s="14" t="s">
        <v>124</v>
      </c>
      <c r="C16" s="14" t="s">
        <v>165</v>
      </c>
      <c r="D16" s="48" t="str">
        <f>IF(RIGHT(LEFT(C16,11),7)=B16,"OK","CHECK")</f>
        <v>OK</v>
      </c>
      <c r="E16" s="56" t="s">
        <v>86</v>
      </c>
      <c r="F16" s="8">
        <v>503478.54</v>
      </c>
      <c r="G16" s="56">
        <v>3514</v>
      </c>
      <c r="H16" s="56" t="s">
        <v>118</v>
      </c>
      <c r="J16" s="6">
        <f>F16/F$52</f>
        <v>3.1116298370729066E-2</v>
      </c>
      <c r="K16" s="3">
        <v>0.03</v>
      </c>
      <c r="L16" s="21">
        <f>ROUND((K16-J16)*F$52,-2)</f>
        <v>-18100</v>
      </c>
      <c r="M16" s="7"/>
      <c r="N16" s="44"/>
      <c r="O16" s="23">
        <f>IF(OR(N16="",F16=""),J16,(F16+N16)/$F$52)</f>
        <v>3.1116298370729066E-2</v>
      </c>
      <c r="P16" s="15" t="s">
        <v>43</v>
      </c>
      <c r="Q16" s="56" t="s">
        <v>198</v>
      </c>
    </row>
    <row r="17" spans="1:17" s="56" customFormat="1" x14ac:dyDescent="0.2">
      <c r="A17" s="56" t="s">
        <v>44</v>
      </c>
      <c r="B17" s="14" t="s">
        <v>125</v>
      </c>
      <c r="C17" s="14" t="s">
        <v>166</v>
      </c>
      <c r="D17" s="48" t="str">
        <f>IF(RIGHT(LEFT(C17,11),7)=B17,"OK","CHECK")</f>
        <v>OK</v>
      </c>
      <c r="E17" s="56" t="s">
        <v>87</v>
      </c>
      <c r="F17" s="8">
        <v>160370.48000000001</v>
      </c>
      <c r="G17" s="56">
        <v>48362.63</v>
      </c>
      <c r="H17" s="56" t="s">
        <v>118</v>
      </c>
      <c r="J17" s="6">
        <f>F17/F$52</f>
        <v>9.9113175817524199E-3</v>
      </c>
      <c r="K17" s="3">
        <v>0.01</v>
      </c>
      <c r="L17" s="21">
        <f>ROUND((K17-J17)*F$52,-2)</f>
        <v>1400</v>
      </c>
      <c r="M17" s="7"/>
      <c r="N17" s="44"/>
      <c r="O17" s="23">
        <f>IF(OR(N17="",F17=""),J17,(F17+N17)/$F$52)</f>
        <v>9.9113175817524199E-3</v>
      </c>
      <c r="P17" s="15" t="s">
        <v>45</v>
      </c>
      <c r="Q17" s="56" t="s">
        <v>198</v>
      </c>
    </row>
    <row r="18" spans="1:17" s="56" customFormat="1" x14ac:dyDescent="0.2">
      <c r="A18" s="56" t="s">
        <v>76</v>
      </c>
      <c r="B18" s="14" t="s">
        <v>126</v>
      </c>
      <c r="C18" s="14" t="s">
        <v>167</v>
      </c>
      <c r="D18" s="48" t="str">
        <f>IF(RIGHT(LEFT(C18,11),7)=B18,"OK","CHECK")</f>
        <v>OK</v>
      </c>
      <c r="E18" s="56" t="s">
        <v>88</v>
      </c>
      <c r="F18" s="8">
        <v>631572.93000000005</v>
      </c>
      <c r="G18" s="56">
        <v>857416.41099999996</v>
      </c>
      <c r="H18" s="56" t="s">
        <v>118</v>
      </c>
      <c r="J18" s="6">
        <f>F18/F$52</f>
        <v>3.9032868675506177E-2</v>
      </c>
      <c r="K18" s="3">
        <v>0.04</v>
      </c>
      <c r="L18" s="21">
        <f>ROUND((K18-J18)*F$52,-2)</f>
        <v>15600</v>
      </c>
      <c r="M18" s="7"/>
      <c r="N18" s="44"/>
      <c r="O18" s="23">
        <f>IF(OR(N18="",F18=""),J18,(F18+N18)/$F$52)</f>
        <v>3.9032868675506177E-2</v>
      </c>
      <c r="P18" s="15" t="s">
        <v>200</v>
      </c>
      <c r="Q18" s="56" t="s">
        <v>198</v>
      </c>
    </row>
    <row r="19" spans="1:17" s="56" customFormat="1" x14ac:dyDescent="0.2">
      <c r="A19" s="56" t="s">
        <v>76</v>
      </c>
      <c r="B19" s="14" t="s">
        <v>127</v>
      </c>
      <c r="C19" s="14" t="s">
        <v>168</v>
      </c>
      <c r="D19" s="48" t="str">
        <f>IF(RIGHT(LEFT(C19,11),7)=B19,"OK","CHECK")</f>
        <v>OK</v>
      </c>
      <c r="E19" s="56" t="s">
        <v>89</v>
      </c>
      <c r="F19" s="8">
        <v>134315.65</v>
      </c>
      <c r="G19" s="56">
        <v>33065.569000000003</v>
      </c>
      <c r="H19" s="56" t="s">
        <v>118</v>
      </c>
      <c r="J19" s="6">
        <f>F19/F$52</f>
        <v>8.3010605402534451E-3</v>
      </c>
      <c r="K19" s="3">
        <v>0.01</v>
      </c>
      <c r="L19" s="21">
        <f>ROUND((K19-J19)*F$52,-2)</f>
        <v>27500</v>
      </c>
      <c r="M19" s="7"/>
      <c r="N19" s="44"/>
      <c r="O19" s="23">
        <f>IF(OR(N19="",F19=""),J19,(F19+N19)/$F$52)</f>
        <v>8.3010605402534451E-3</v>
      </c>
      <c r="P19" s="15" t="s">
        <v>41</v>
      </c>
      <c r="Q19" s="56" t="s">
        <v>198</v>
      </c>
    </row>
    <row r="20" spans="1:17" s="56" customFormat="1" x14ac:dyDescent="0.2">
      <c r="A20" s="56" t="s">
        <v>44</v>
      </c>
      <c r="B20" s="14" t="s">
        <v>128</v>
      </c>
      <c r="C20" s="14" t="s">
        <v>169</v>
      </c>
      <c r="D20" s="48" t="str">
        <f>IF(RIGHT(LEFT(C20,11),7)=B20,"OK","CHECK")</f>
        <v>OK</v>
      </c>
      <c r="E20" s="56" t="s">
        <v>90</v>
      </c>
      <c r="F20" s="8">
        <v>164259.91</v>
      </c>
      <c r="G20" s="56">
        <v>62874.605000000003</v>
      </c>
      <c r="H20" s="56" t="s">
        <v>118</v>
      </c>
      <c r="J20" s="6">
        <f>F20/F$52</f>
        <v>1.0151694588430927E-2</v>
      </c>
      <c r="K20" s="3">
        <v>0.01</v>
      </c>
      <c r="L20" s="21">
        <f>ROUND((K20-J20)*F$52,-2)</f>
        <v>-2500</v>
      </c>
      <c r="M20" s="7"/>
      <c r="N20" s="44"/>
      <c r="O20" s="23">
        <f>IF(OR(N20="",F20=""),J20,(F20+N20)/$F$52)</f>
        <v>1.0151694588430927E-2</v>
      </c>
      <c r="P20" s="15" t="s">
        <v>70</v>
      </c>
      <c r="Q20" s="56" t="s">
        <v>198</v>
      </c>
    </row>
    <row r="21" spans="1:17" s="56" customFormat="1" x14ac:dyDescent="0.2">
      <c r="A21" s="56" t="s">
        <v>76</v>
      </c>
      <c r="B21" s="14" t="s">
        <v>129</v>
      </c>
      <c r="C21" s="14" t="s">
        <v>170</v>
      </c>
      <c r="D21" s="48" t="str">
        <f>IF(RIGHT(LEFT(C21,11),7)=B21,"OK","CHECK")</f>
        <v>OK</v>
      </c>
      <c r="E21" s="56" t="s">
        <v>91</v>
      </c>
      <c r="F21" s="8">
        <v>196120.43</v>
      </c>
      <c r="G21" s="56">
        <v>12759.95</v>
      </c>
      <c r="H21" s="56" t="s">
        <v>118</v>
      </c>
      <c r="J21" s="6">
        <f>F21/F$52</f>
        <v>1.2120758546085566E-2</v>
      </c>
      <c r="K21" s="3">
        <v>0.01</v>
      </c>
      <c r="L21" s="21">
        <f>ROUND((K21-J21)*F$52,-2)</f>
        <v>-34300</v>
      </c>
      <c r="M21" s="7"/>
      <c r="N21" s="44"/>
      <c r="O21" s="23">
        <f>IF(OR(N21="",F21=""),J21,(F21+N21)/$F$52)</f>
        <v>1.2120758546085566E-2</v>
      </c>
      <c r="P21" s="15" t="s">
        <v>50</v>
      </c>
      <c r="Q21" s="56" t="s">
        <v>198</v>
      </c>
    </row>
    <row r="22" spans="1:17" s="56" customFormat="1" x14ac:dyDescent="0.2">
      <c r="A22" s="56" t="s">
        <v>76</v>
      </c>
      <c r="B22" s="14" t="s">
        <v>130</v>
      </c>
      <c r="C22" s="14" t="s">
        <v>171</v>
      </c>
      <c r="D22" s="48" t="str">
        <f>IF(RIGHT(LEFT(C22,11),7)=B22,"OK","CHECK")</f>
        <v>OK</v>
      </c>
      <c r="E22" s="56" t="s">
        <v>92</v>
      </c>
      <c r="F22" s="8">
        <v>614171.57999999996</v>
      </c>
      <c r="G22" s="56">
        <v>295487.89</v>
      </c>
      <c r="H22" s="56" t="s">
        <v>118</v>
      </c>
      <c r="J22" s="6">
        <f>F22/F$52</f>
        <v>3.7957419464396826E-2</v>
      </c>
      <c r="K22" s="3">
        <v>0.04</v>
      </c>
      <c r="L22" s="21">
        <f>ROUND((K22-J22)*F$52,-2)</f>
        <v>33100</v>
      </c>
      <c r="M22" s="7"/>
      <c r="N22" s="44">
        <v>65000</v>
      </c>
      <c r="O22" s="23">
        <f>IF(OR(N22="",F22=""),J22,(F22+N22)/$F$52)</f>
        <v>4.197459047251445E-2</v>
      </c>
      <c r="P22" s="15" t="s">
        <v>43</v>
      </c>
      <c r="Q22" s="56" t="s">
        <v>198</v>
      </c>
    </row>
    <row r="23" spans="1:17" s="56" customFormat="1" x14ac:dyDescent="0.2">
      <c r="A23" s="56" t="s">
        <v>76</v>
      </c>
      <c r="B23" s="14" t="s">
        <v>131</v>
      </c>
      <c r="C23" s="14" t="s">
        <v>172</v>
      </c>
      <c r="D23" s="48" t="str">
        <f>IF(RIGHT(LEFT(C23,11),7)=B23,"OK","CHECK")</f>
        <v>OK</v>
      </c>
      <c r="E23" s="56" t="s">
        <v>93</v>
      </c>
      <c r="F23" s="8">
        <v>184252.18</v>
      </c>
      <c r="G23" s="56">
        <v>52788.27</v>
      </c>
      <c r="H23" s="56" t="s">
        <v>118</v>
      </c>
      <c r="J23" s="6">
        <f>F23/F$52</f>
        <v>1.138726947197646E-2</v>
      </c>
      <c r="K23" s="3">
        <v>0.01</v>
      </c>
      <c r="L23" s="21">
        <f>ROUND((K23-J23)*F$52,-2)</f>
        <v>-22400</v>
      </c>
      <c r="M23" s="7"/>
      <c r="N23" s="44"/>
      <c r="O23" s="23">
        <f>IF(OR(N23="",F23=""),J23,(F23+N23)/$F$52)</f>
        <v>1.138726947197646E-2</v>
      </c>
      <c r="P23" s="15" t="s">
        <v>42</v>
      </c>
      <c r="Q23" s="56" t="s">
        <v>198</v>
      </c>
    </row>
    <row r="24" spans="1:17" s="56" customFormat="1" x14ac:dyDescent="0.2">
      <c r="A24" s="56" t="s">
        <v>44</v>
      </c>
      <c r="B24" s="14" t="s">
        <v>132</v>
      </c>
      <c r="C24" s="14" t="s">
        <v>173</v>
      </c>
      <c r="D24" s="48" t="str">
        <f>IF(RIGHT(LEFT(C24,11),7)=B24,"OK","CHECK")</f>
        <v>OK</v>
      </c>
      <c r="E24" s="56" t="s">
        <v>94</v>
      </c>
      <c r="F24" s="8">
        <v>358772.18</v>
      </c>
      <c r="G24" s="56">
        <v>115919.93</v>
      </c>
      <c r="H24" s="56" t="s">
        <v>118</v>
      </c>
      <c r="J24" s="6">
        <f>F24/F$52</f>
        <v>2.2173064615617809E-2</v>
      </c>
      <c r="K24" s="3">
        <v>0.02</v>
      </c>
      <c r="L24" s="21">
        <f>ROUND((K24-J24)*F$52,-2)</f>
        <v>-35200</v>
      </c>
      <c r="M24" s="7"/>
      <c r="N24" s="44"/>
      <c r="O24" s="23">
        <f>IF(OR(N24="",F24=""),J24,(F24+N24)/$F$52)</f>
        <v>2.2173064615617809E-2</v>
      </c>
      <c r="P24" s="15" t="s">
        <v>42</v>
      </c>
      <c r="Q24" s="56" t="s">
        <v>198</v>
      </c>
    </row>
    <row r="25" spans="1:17" s="56" customFormat="1" x14ac:dyDescent="0.2">
      <c r="A25" s="56" t="s">
        <v>76</v>
      </c>
      <c r="B25" s="14" t="s">
        <v>133</v>
      </c>
      <c r="C25" s="14" t="s">
        <v>174</v>
      </c>
      <c r="D25" s="48" t="str">
        <f>IF(RIGHT(LEFT(C25,11),7)=B25,"OK","CHECK")</f>
        <v>OK</v>
      </c>
      <c r="E25" s="56" t="s">
        <v>95</v>
      </c>
      <c r="F25" s="8">
        <v>499719.78</v>
      </c>
      <c r="G25" s="56">
        <v>73121.52</v>
      </c>
      <c r="H25" s="56" t="s">
        <v>118</v>
      </c>
      <c r="J25" s="6">
        <f>F25/F$52</f>
        <v>3.0883997113829498E-2</v>
      </c>
      <c r="K25" s="3">
        <v>0.03</v>
      </c>
      <c r="L25" s="21">
        <f>ROUND((K25-J25)*F$52,-2)</f>
        <v>-14300</v>
      </c>
      <c r="M25" s="7"/>
      <c r="N25" s="44"/>
      <c r="O25" s="23">
        <f>IF(OR(N25="",F25=""),J25,(F25+N25)/$F$52)</f>
        <v>3.0883997113829498E-2</v>
      </c>
      <c r="P25" s="15" t="s">
        <v>46</v>
      </c>
      <c r="Q25" s="56" t="s">
        <v>198</v>
      </c>
    </row>
    <row r="26" spans="1:17" s="56" customFormat="1" x14ac:dyDescent="0.2">
      <c r="A26" s="56" t="s">
        <v>76</v>
      </c>
      <c r="B26" s="14" t="s">
        <v>134</v>
      </c>
      <c r="C26" s="14" t="s">
        <v>175</v>
      </c>
      <c r="D26" s="48" t="str">
        <f>IF(RIGHT(LEFT(C26,11),7)=B26,"OK","CHECK")</f>
        <v>OK</v>
      </c>
      <c r="E26" s="56" t="s">
        <v>96</v>
      </c>
      <c r="F26" s="8">
        <v>158703.1</v>
      </c>
      <c r="G26" s="56">
        <v>12561.19</v>
      </c>
      <c r="H26" s="56" t="s">
        <v>118</v>
      </c>
      <c r="J26" s="6">
        <f>F26/F$52</f>
        <v>9.8082691110521862E-3</v>
      </c>
      <c r="K26" s="3">
        <v>0.01</v>
      </c>
      <c r="L26" s="21">
        <f>ROUND((K26-J26)*F$52,-2)</f>
        <v>3100</v>
      </c>
      <c r="M26" s="7"/>
      <c r="N26" s="44"/>
      <c r="O26" s="23">
        <f>IF(OR(N26="",F26=""),J26,(F26+N26)/$F$52)</f>
        <v>9.8082691110521862E-3</v>
      </c>
      <c r="P26" s="15" t="s">
        <v>201</v>
      </c>
      <c r="Q26" s="56" t="s">
        <v>198</v>
      </c>
    </row>
    <row r="27" spans="1:17" s="56" customFormat="1" x14ac:dyDescent="0.2">
      <c r="A27" s="56" t="s">
        <v>44</v>
      </c>
      <c r="B27" s="14" t="s">
        <v>135</v>
      </c>
      <c r="C27" s="14" t="s">
        <v>176</v>
      </c>
      <c r="D27" s="48" t="str">
        <f>IF(RIGHT(LEFT(C27,11),7)=B27,"OK","CHECK")</f>
        <v>OK</v>
      </c>
      <c r="E27" s="56" t="s">
        <v>97</v>
      </c>
      <c r="F27" s="8">
        <v>146428.56</v>
      </c>
      <c r="G27" s="56">
        <v>13558.2</v>
      </c>
      <c r="H27" s="56" t="s">
        <v>118</v>
      </c>
      <c r="J27" s="6">
        <f>F27/F$52</f>
        <v>9.0496702460371066E-3</v>
      </c>
      <c r="K27" s="3">
        <v>0.01</v>
      </c>
      <c r="L27" s="21">
        <f>ROUND((K27-J27)*F$52,-2)</f>
        <v>15400</v>
      </c>
      <c r="M27" s="7"/>
      <c r="N27" s="44"/>
      <c r="O27" s="23">
        <f>IF(OR(N27="",F27=""),J27,(F27+N27)/$F$52)</f>
        <v>9.0496702460371066E-3</v>
      </c>
      <c r="P27" s="15" t="s">
        <v>51</v>
      </c>
      <c r="Q27" s="56" t="s">
        <v>198</v>
      </c>
    </row>
    <row r="28" spans="1:17" s="56" customFormat="1" x14ac:dyDescent="0.2">
      <c r="A28" s="56" t="s">
        <v>76</v>
      </c>
      <c r="B28" s="14" t="s">
        <v>136</v>
      </c>
      <c r="C28" s="14" t="s">
        <v>177</v>
      </c>
      <c r="D28" s="48" t="str">
        <f>IF(RIGHT(LEFT(C28,11),7)=B28,"OK","CHECK")</f>
        <v>OK</v>
      </c>
      <c r="E28" s="56" t="s">
        <v>98</v>
      </c>
      <c r="F28" s="8">
        <v>182704.3</v>
      </c>
      <c r="G28" s="56">
        <v>14420.228999999999</v>
      </c>
      <c r="H28" s="56" t="s">
        <v>118</v>
      </c>
      <c r="J28" s="6">
        <f>F28/F$52</f>
        <v>1.1291606415668074E-2</v>
      </c>
      <c r="K28" s="3">
        <v>0.01</v>
      </c>
      <c r="L28" s="21">
        <f>ROUND((K28-J28)*F$52,-2)</f>
        <v>-20900</v>
      </c>
      <c r="M28" s="7"/>
      <c r="N28" s="44"/>
      <c r="O28" s="23">
        <f>IF(OR(N28="",F28=""),J28,(F28+N28)/$F$52)</f>
        <v>1.1291606415668074E-2</v>
      </c>
      <c r="P28" s="15" t="s">
        <v>46</v>
      </c>
      <c r="Q28" s="56" t="s">
        <v>198</v>
      </c>
    </row>
    <row r="29" spans="1:17" s="56" customFormat="1" x14ac:dyDescent="0.2">
      <c r="A29" s="56" t="s">
        <v>44</v>
      </c>
      <c r="B29" s="14" t="s">
        <v>137</v>
      </c>
      <c r="C29" s="14" t="s">
        <v>178</v>
      </c>
      <c r="D29" s="48" t="str">
        <f>IF(RIGHT(LEFT(C29,11),7)=B29,"OK","CHECK")</f>
        <v>OK</v>
      </c>
      <c r="E29" s="56" t="s">
        <v>99</v>
      </c>
      <c r="F29" s="8">
        <v>286829.39</v>
      </c>
      <c r="G29" s="56">
        <v>358985.46899999998</v>
      </c>
      <c r="H29" s="56" t="s">
        <v>118</v>
      </c>
      <c r="J29" s="6">
        <f>F29/F$52</f>
        <v>1.7726810919754817E-2</v>
      </c>
      <c r="K29" s="3">
        <v>0.02</v>
      </c>
      <c r="L29" s="21">
        <f>ROUND((K29-J29)*F$52,-2)</f>
        <v>36800</v>
      </c>
      <c r="M29" s="7"/>
      <c r="N29" s="44"/>
      <c r="O29" s="23">
        <f>IF(OR(N29="",F29=""),J29,(F29+N29)/$F$52)</f>
        <v>1.7726810919754817E-2</v>
      </c>
      <c r="P29" s="15" t="s">
        <v>42</v>
      </c>
      <c r="Q29" s="56" t="s">
        <v>198</v>
      </c>
    </row>
    <row r="30" spans="1:17" s="56" customFormat="1" x14ac:dyDescent="0.2">
      <c r="A30" s="56" t="s">
        <v>76</v>
      </c>
      <c r="B30" s="14" t="s">
        <v>138</v>
      </c>
      <c r="C30" s="14" t="s">
        <v>179</v>
      </c>
      <c r="D30" s="48" t="str">
        <f>IF(RIGHT(LEFT(C30,11),7)=B30,"OK","CHECK")</f>
        <v>OK</v>
      </c>
      <c r="E30" s="56" t="s">
        <v>100</v>
      </c>
      <c r="F30" s="8">
        <v>962906.85</v>
      </c>
      <c r="G30" s="56">
        <v>9412.11</v>
      </c>
      <c r="H30" s="56" t="s">
        <v>118</v>
      </c>
      <c r="J30" s="6">
        <f>F30/F$52</f>
        <v>5.9510176635967159E-2</v>
      </c>
      <c r="K30" s="3">
        <v>0.06</v>
      </c>
      <c r="L30" s="21">
        <f>ROUND((K30-J30)*F$52,-2)</f>
        <v>7900</v>
      </c>
      <c r="M30" s="7"/>
      <c r="N30" s="44"/>
      <c r="O30" s="23">
        <f>IF(OR(N30="",F30=""),J30,(F30+N30)/$F$52)</f>
        <v>5.9510176635967159E-2</v>
      </c>
      <c r="P30" s="15" t="s">
        <v>200</v>
      </c>
      <c r="Q30" s="56" t="s">
        <v>198</v>
      </c>
    </row>
    <row r="31" spans="1:17" s="56" customFormat="1" x14ac:dyDescent="0.2">
      <c r="A31" s="56" t="s">
        <v>76</v>
      </c>
      <c r="B31" s="14" t="s">
        <v>139</v>
      </c>
      <c r="C31" s="14" t="s">
        <v>180</v>
      </c>
      <c r="D31" s="48" t="str">
        <f>IF(RIGHT(LEFT(C31,11),7)=B31,"OK","CHECK")</f>
        <v>OK</v>
      </c>
      <c r="E31" s="56" t="s">
        <v>101</v>
      </c>
      <c r="F31" s="8">
        <v>325735.34999999998</v>
      </c>
      <c r="G31" s="56">
        <v>226205.103</v>
      </c>
      <c r="H31" s="56" t="s">
        <v>118</v>
      </c>
      <c r="J31" s="6">
        <f>F31/F$52</f>
        <v>2.0131301605216107E-2</v>
      </c>
      <c r="K31" s="3">
        <v>0.02</v>
      </c>
      <c r="L31" s="21">
        <f>ROUND((K31-J31)*F$52,-2)</f>
        <v>-2100</v>
      </c>
      <c r="M31" s="7"/>
      <c r="N31" s="44"/>
      <c r="O31" s="23">
        <f>IF(OR(N31="",F31=""),J31,(F31+N31)/$F$52)</f>
        <v>2.0131301605216107E-2</v>
      </c>
      <c r="P31" s="15" t="s">
        <v>202</v>
      </c>
      <c r="Q31" s="56" t="s">
        <v>198</v>
      </c>
    </row>
    <row r="32" spans="1:17" s="56" customFormat="1" x14ac:dyDescent="0.2">
      <c r="A32" s="56" t="s">
        <v>76</v>
      </c>
      <c r="B32" s="14" t="s">
        <v>140</v>
      </c>
      <c r="C32" s="14" t="s">
        <v>181</v>
      </c>
      <c r="D32" s="48" t="str">
        <f>IF(RIGHT(LEFT(C32,11),7)=B32,"OK","CHECK")</f>
        <v>OK</v>
      </c>
      <c r="E32" s="56" t="s">
        <v>102</v>
      </c>
      <c r="F32" s="8">
        <v>154631.20000000001</v>
      </c>
      <c r="G32" s="56">
        <v>109419.193</v>
      </c>
      <c r="H32" s="56" t="s">
        <v>118</v>
      </c>
      <c r="J32" s="6">
        <f>F32/F$52</f>
        <v>9.5566149783144309E-3</v>
      </c>
      <c r="K32" s="3">
        <v>0.01</v>
      </c>
      <c r="L32" s="21">
        <f>ROUND((K32-J32)*F$52,-2)</f>
        <v>7200</v>
      </c>
      <c r="M32" s="7"/>
      <c r="N32" s="44"/>
      <c r="O32" s="23">
        <f>IF(OR(N32="",F32=""),J32,(F32+N32)/$F$52)</f>
        <v>9.5566149783144309E-3</v>
      </c>
      <c r="P32" s="15" t="s">
        <v>49</v>
      </c>
      <c r="Q32" s="56" t="s">
        <v>198</v>
      </c>
    </row>
    <row r="33" spans="1:17" s="56" customFormat="1" x14ac:dyDescent="0.2">
      <c r="A33" s="56" t="s">
        <v>76</v>
      </c>
      <c r="B33" s="14" t="s">
        <v>141</v>
      </c>
      <c r="C33" s="14" t="s">
        <v>182</v>
      </c>
      <c r="D33" s="48" t="str">
        <f>IF(RIGHT(LEFT(C33,11),7)=B33,"OK","CHECK")</f>
        <v>OK</v>
      </c>
      <c r="E33" s="56" t="s">
        <v>103</v>
      </c>
      <c r="F33" s="8">
        <v>310794.55</v>
      </c>
      <c r="G33" s="56">
        <v>292045.24400000001</v>
      </c>
      <c r="H33" s="56" t="s">
        <v>118</v>
      </c>
      <c r="J33" s="6">
        <f>F33/F$52</f>
        <v>1.9207920857553282E-2</v>
      </c>
      <c r="K33" s="3">
        <v>0.02</v>
      </c>
      <c r="L33" s="21">
        <f>ROUND((K33-J33)*F$52,-2)</f>
        <v>12800</v>
      </c>
      <c r="M33" s="7"/>
      <c r="N33" s="44"/>
      <c r="O33" s="23">
        <f>IF(OR(N33="",F33=""),J33,(F33+N33)/$F$52)</f>
        <v>1.9207920857553282E-2</v>
      </c>
      <c r="P33" s="15" t="s">
        <v>43</v>
      </c>
      <c r="Q33" s="56" t="s">
        <v>198</v>
      </c>
    </row>
    <row r="34" spans="1:17" s="56" customFormat="1" x14ac:dyDescent="0.2">
      <c r="A34" s="56" t="s">
        <v>76</v>
      </c>
      <c r="B34" s="14" t="s">
        <v>142</v>
      </c>
      <c r="C34" s="14" t="s">
        <v>183</v>
      </c>
      <c r="D34" s="48" t="str">
        <f>IF(RIGHT(LEFT(C34,11),7)=B34,"OK","CHECK")</f>
        <v>OK</v>
      </c>
      <c r="E34" s="56" t="s">
        <v>104</v>
      </c>
      <c r="F34" s="8">
        <v>481111.77</v>
      </c>
      <c r="G34" s="56">
        <v>455339.55499999999</v>
      </c>
      <c r="H34" s="56" t="s">
        <v>118</v>
      </c>
      <c r="J34" s="6">
        <f>F34/F$52</f>
        <v>2.9733973140125453E-2</v>
      </c>
      <c r="K34" s="3">
        <v>0.03</v>
      </c>
      <c r="L34" s="21">
        <f>ROUND((K34-J34)*F$52,-2)</f>
        <v>4300</v>
      </c>
      <c r="M34" s="7"/>
      <c r="N34" s="44"/>
      <c r="O34" s="23">
        <f>IF(OR(N34="",F34=""),J34,(F34+N34)/$F$52)</f>
        <v>2.9733973140125453E-2</v>
      </c>
      <c r="P34" s="15" t="s">
        <v>43</v>
      </c>
      <c r="Q34" s="56" t="s">
        <v>198</v>
      </c>
    </row>
    <row r="35" spans="1:17" s="56" customFormat="1" x14ac:dyDescent="0.2">
      <c r="A35" s="56" t="s">
        <v>76</v>
      </c>
      <c r="B35" s="14" t="s">
        <v>143</v>
      </c>
      <c r="C35" s="14" t="s">
        <v>184</v>
      </c>
      <c r="D35" s="48" t="str">
        <f>IF(RIGHT(LEFT(C35,11),7)=B35,"OK","CHECK")</f>
        <v>OK</v>
      </c>
      <c r="E35" s="56" t="s">
        <v>105</v>
      </c>
      <c r="F35" s="8">
        <v>169616.8</v>
      </c>
      <c r="G35" s="56">
        <v>219426.647</v>
      </c>
      <c r="H35" s="56" t="s">
        <v>118</v>
      </c>
      <c r="J35" s="6">
        <f>F35/F$52</f>
        <v>1.0482764483841313E-2</v>
      </c>
      <c r="K35" s="3">
        <v>0.01</v>
      </c>
      <c r="L35" s="21">
        <f>ROUND((K35-J35)*F$52,-2)</f>
        <v>-7800</v>
      </c>
      <c r="M35" s="7"/>
      <c r="N35" s="44"/>
      <c r="O35" s="23">
        <f>IF(OR(N35="",F35=""),J35,(F35+N35)/$F$52)</f>
        <v>1.0482764483841313E-2</v>
      </c>
      <c r="P35" s="15" t="s">
        <v>203</v>
      </c>
      <c r="Q35" s="56" t="s">
        <v>198</v>
      </c>
    </row>
    <row r="36" spans="1:17" s="56" customFormat="1" x14ac:dyDescent="0.2">
      <c r="A36" s="56" t="s">
        <v>44</v>
      </c>
      <c r="B36" s="14" t="s">
        <v>144</v>
      </c>
      <c r="C36" s="14" t="s">
        <v>185</v>
      </c>
      <c r="D36" s="48" t="str">
        <f>IF(RIGHT(LEFT(C36,11),7)=B36,"OK","CHECK")</f>
        <v>OK</v>
      </c>
      <c r="E36" s="56" t="s">
        <v>106</v>
      </c>
      <c r="F36" s="8">
        <v>124274.87</v>
      </c>
      <c r="G36" s="56">
        <v>42676.81</v>
      </c>
      <c r="H36" s="56" t="s">
        <v>118</v>
      </c>
      <c r="J36" s="6">
        <f>F36/F$52</f>
        <v>7.6805139200244099E-3</v>
      </c>
      <c r="K36" s="3">
        <v>0.01</v>
      </c>
      <c r="L36" s="21">
        <f>ROUND((K36-J36)*F$52,-2)</f>
        <v>37500</v>
      </c>
      <c r="M36" s="7"/>
      <c r="N36" s="44"/>
      <c r="O36" s="23">
        <f>IF(OR(N36="",F36=""),J36,(F36+N36)/$F$52)</f>
        <v>7.6805139200244099E-3</v>
      </c>
      <c r="P36" s="15" t="s">
        <v>46</v>
      </c>
      <c r="Q36" s="56" t="s">
        <v>198</v>
      </c>
    </row>
    <row r="37" spans="1:17" s="56" customFormat="1" x14ac:dyDescent="0.2">
      <c r="A37" s="56" t="s">
        <v>76</v>
      </c>
      <c r="B37" s="14" t="s">
        <v>145</v>
      </c>
      <c r="C37" s="14" t="s">
        <v>186</v>
      </c>
      <c r="D37" s="48" t="str">
        <f>IF(RIGHT(LEFT(C37,11),7)=B37,"OK","CHECK")</f>
        <v>OK</v>
      </c>
      <c r="E37" s="56" t="s">
        <v>107</v>
      </c>
      <c r="F37" s="8">
        <v>314884.34000000003</v>
      </c>
      <c r="G37" s="56">
        <v>35400.150999999998</v>
      </c>
      <c r="H37" s="56" t="s">
        <v>118</v>
      </c>
      <c r="J37" s="6">
        <f>F37/F$52</f>
        <v>1.9460680639357734E-2</v>
      </c>
      <c r="K37" s="3">
        <v>0.02</v>
      </c>
      <c r="L37" s="21">
        <f>ROUND((K37-J37)*F$52,-2)</f>
        <v>8700</v>
      </c>
      <c r="M37" s="7"/>
      <c r="N37" s="44"/>
      <c r="O37" s="23">
        <f>IF(OR(N37="",F37=""),J37,(F37+N37)/$F$52)</f>
        <v>1.9460680639357734E-2</v>
      </c>
      <c r="P37" s="15" t="s">
        <v>49</v>
      </c>
      <c r="Q37" s="56" t="s">
        <v>198</v>
      </c>
    </row>
    <row r="38" spans="1:17" s="56" customFormat="1" x14ac:dyDescent="0.2">
      <c r="A38" s="56" t="s">
        <v>76</v>
      </c>
      <c r="B38" s="14" t="s">
        <v>146</v>
      </c>
      <c r="C38" s="14" t="s">
        <v>187</v>
      </c>
      <c r="D38" s="48" t="str">
        <f>IF(RIGHT(LEFT(C38,11),7)=B38,"OK","CHECK")</f>
        <v>OK</v>
      </c>
      <c r="E38" s="56" t="s">
        <v>108</v>
      </c>
      <c r="F38" s="8">
        <v>624146.77</v>
      </c>
      <c r="G38" s="56">
        <v>5907.13</v>
      </c>
      <c r="H38" s="56" t="s">
        <v>118</v>
      </c>
      <c r="J38" s="6">
        <f>F38/F$52</f>
        <v>3.8573912450065521E-2</v>
      </c>
      <c r="K38" s="3">
        <v>0.04</v>
      </c>
      <c r="L38" s="21">
        <f>ROUND((K38-J38)*F$52,-2)</f>
        <v>23100</v>
      </c>
      <c r="M38" s="7"/>
      <c r="N38" s="44"/>
      <c r="O38" s="23">
        <f>IF(OR(N38="",F38=""),J38,(F38+N38)/$F$52)</f>
        <v>3.8573912450065521E-2</v>
      </c>
      <c r="P38" s="15" t="s">
        <v>43</v>
      </c>
      <c r="Q38" s="56" t="s">
        <v>198</v>
      </c>
    </row>
    <row r="39" spans="1:17" s="56" customFormat="1" x14ac:dyDescent="0.2">
      <c r="A39" s="56" t="s">
        <v>76</v>
      </c>
      <c r="B39" s="14" t="s">
        <v>147</v>
      </c>
      <c r="C39" s="14" t="s">
        <v>188</v>
      </c>
      <c r="D39" s="48" t="str">
        <f>IF(RIGHT(LEFT(C39,11),7)=B39,"OK","CHECK")</f>
        <v>OK</v>
      </c>
      <c r="E39" s="56" t="s">
        <v>109</v>
      </c>
      <c r="F39" s="8">
        <v>475221.47</v>
      </c>
      <c r="G39" s="56">
        <v>846041.43099999998</v>
      </c>
      <c r="H39" s="56" t="s">
        <v>118</v>
      </c>
      <c r="J39" s="6">
        <f>F39/F$52</f>
        <v>2.9369937103369832E-2</v>
      </c>
      <c r="K39" s="3">
        <v>0.03</v>
      </c>
      <c r="L39" s="21">
        <f>ROUND((K39-J39)*F$52,-2)</f>
        <v>10200</v>
      </c>
      <c r="M39" s="7"/>
      <c r="N39" s="44"/>
      <c r="O39" s="23">
        <f>IF(OR(N39="",F39=""),J39,(F39+N39)/$F$52)</f>
        <v>2.9369937103369832E-2</v>
      </c>
      <c r="P39" s="15" t="s">
        <v>43</v>
      </c>
      <c r="Q39" s="56" t="s">
        <v>198</v>
      </c>
    </row>
    <row r="40" spans="1:17" s="56" customFormat="1" x14ac:dyDescent="0.2">
      <c r="A40" s="56" t="s">
        <v>76</v>
      </c>
      <c r="B40" s="14" t="s">
        <v>148</v>
      </c>
      <c r="C40" s="14" t="s">
        <v>189</v>
      </c>
      <c r="D40" s="48" t="str">
        <f>IF(RIGHT(LEFT(C40,11),7)=B40,"OK","CHECK")</f>
        <v>OK</v>
      </c>
      <c r="E40" s="56" t="s">
        <v>110</v>
      </c>
      <c r="F40" s="8">
        <v>192082.19</v>
      </c>
      <c r="G40" s="56">
        <v>177525.13</v>
      </c>
      <c r="H40" s="56" t="s">
        <v>118</v>
      </c>
      <c r="J40" s="6">
        <f>F40/F$52</f>
        <v>1.1871184689903707E-2</v>
      </c>
      <c r="K40" s="3">
        <v>0.01</v>
      </c>
      <c r="L40" s="21">
        <f>ROUND((K40-J40)*F$52,-2)</f>
        <v>-30300</v>
      </c>
      <c r="M40" s="7"/>
      <c r="N40" s="44"/>
      <c r="O40" s="23">
        <f>IF(OR(N40="",F40=""),J40,(F40+N40)/$F$52)</f>
        <v>1.1871184689903707E-2</v>
      </c>
      <c r="P40" s="15" t="s">
        <v>46</v>
      </c>
      <c r="Q40" s="56" t="s">
        <v>198</v>
      </c>
    </row>
    <row r="41" spans="1:17" s="56" customFormat="1" x14ac:dyDescent="0.2">
      <c r="A41" s="56" t="s">
        <v>76</v>
      </c>
      <c r="B41" s="14" t="s">
        <v>149</v>
      </c>
      <c r="C41" s="14" t="s">
        <v>190</v>
      </c>
      <c r="D41" s="48" t="str">
        <f>IF(RIGHT(LEFT(C41,11),7)=B41,"OK","CHECK")</f>
        <v>OK</v>
      </c>
      <c r="E41" s="56" t="s">
        <v>111</v>
      </c>
      <c r="F41" s="8">
        <v>625607.81000000006</v>
      </c>
      <c r="G41" s="56">
        <v>596157.62100000004</v>
      </c>
      <c r="H41" s="56" t="s">
        <v>118</v>
      </c>
      <c r="J41" s="6">
        <f>F41/F$52</f>
        <v>3.8664208565907063E-2</v>
      </c>
      <c r="K41" s="3">
        <v>0.04</v>
      </c>
      <c r="L41" s="21">
        <f>ROUND((K41-J41)*F$52,-2)</f>
        <v>21600</v>
      </c>
      <c r="M41" s="7"/>
      <c r="N41" s="44"/>
      <c r="O41" s="23">
        <f>IF(OR(N41="",F41=""),J41,(F41+N41)/$F$52)</f>
        <v>3.8664208565907063E-2</v>
      </c>
      <c r="P41" s="15" t="s">
        <v>204</v>
      </c>
      <c r="Q41" s="56" t="s">
        <v>198</v>
      </c>
    </row>
    <row r="42" spans="1:17" s="56" customFormat="1" x14ac:dyDescent="0.2">
      <c r="A42" s="56" t="s">
        <v>76</v>
      </c>
      <c r="B42" s="14" t="s">
        <v>150</v>
      </c>
      <c r="C42" s="14" t="s">
        <v>191</v>
      </c>
      <c r="D42" s="48" t="str">
        <f>IF(RIGHT(LEFT(C42,11),7)=B42,"OK","CHECK")</f>
        <v>OK</v>
      </c>
      <c r="E42" s="56" t="s">
        <v>112</v>
      </c>
      <c r="F42" s="8">
        <v>172627.33</v>
      </c>
      <c r="G42" s="56">
        <v>59711.98</v>
      </c>
      <c r="H42" s="56" t="s">
        <v>118</v>
      </c>
      <c r="J42" s="6">
        <f>F42/F$52</f>
        <v>1.0668823158226979E-2</v>
      </c>
      <c r="K42" s="3">
        <v>0.01</v>
      </c>
      <c r="L42" s="21">
        <f>ROUND((K42-J42)*F$52,-2)</f>
        <v>-10800</v>
      </c>
      <c r="M42" s="7"/>
      <c r="N42" s="44"/>
      <c r="O42" s="23">
        <f>IF(OR(N42="",F42=""),J42,(F42+N42)/$F$52)</f>
        <v>1.0668823158226979E-2</v>
      </c>
      <c r="P42" s="15" t="s">
        <v>205</v>
      </c>
      <c r="Q42" s="56" t="s">
        <v>198</v>
      </c>
    </row>
    <row r="43" spans="1:17" s="56" customFormat="1" x14ac:dyDescent="0.2">
      <c r="A43" s="56" t="s">
        <v>76</v>
      </c>
      <c r="B43" s="14" t="s">
        <v>151</v>
      </c>
      <c r="C43" s="14" t="s">
        <v>192</v>
      </c>
      <c r="D43" s="48" t="str">
        <f>IF(RIGHT(LEFT(C43,11),7)=B43,"OK","CHECK")</f>
        <v>OK</v>
      </c>
      <c r="E43" s="56" t="s">
        <v>113</v>
      </c>
      <c r="F43" s="8">
        <v>168111.39</v>
      </c>
      <c r="G43" s="56">
        <v>6044.9979999999996</v>
      </c>
      <c r="H43" s="56" t="s">
        <v>118</v>
      </c>
      <c r="J43" s="6">
        <f>F43/F$52</f>
        <v>1.0389726185267002E-2</v>
      </c>
      <c r="K43" s="3">
        <v>0.01</v>
      </c>
      <c r="L43" s="21">
        <f>ROUND((K43-J43)*F$52,-2)</f>
        <v>-6300</v>
      </c>
      <c r="M43" s="7"/>
      <c r="N43" s="44"/>
      <c r="O43" s="23">
        <f>IF(OR(N43="",F43=""),J43,(F43+N43)/$F$52)</f>
        <v>1.0389726185267002E-2</v>
      </c>
      <c r="P43" s="15" t="s">
        <v>201</v>
      </c>
      <c r="Q43" s="56" t="s">
        <v>198</v>
      </c>
    </row>
    <row r="44" spans="1:17" s="56" customFormat="1" x14ac:dyDescent="0.2">
      <c r="A44" s="56" t="s">
        <v>76</v>
      </c>
      <c r="B44" s="14" t="s">
        <v>152</v>
      </c>
      <c r="C44" s="14" t="s">
        <v>193</v>
      </c>
      <c r="D44" s="48" t="str">
        <f>IF(RIGHT(LEFT(C44,11),7)=B44,"OK","CHECK")</f>
        <v>OK</v>
      </c>
      <c r="E44" s="56" t="s">
        <v>114</v>
      </c>
      <c r="F44" s="8">
        <v>600371.65</v>
      </c>
      <c r="G44" s="56">
        <v>5441.5992999999999</v>
      </c>
      <c r="H44" s="56" t="s">
        <v>118</v>
      </c>
      <c r="J44" s="6">
        <f>F44/F$52</f>
        <v>3.7104547484242176E-2</v>
      </c>
      <c r="K44" s="3">
        <v>0.04</v>
      </c>
      <c r="L44" s="21">
        <f>ROUND((K44-J44)*F$52,-2)</f>
        <v>46800</v>
      </c>
      <c r="M44" s="7"/>
      <c r="N44" s="44">
        <v>80000</v>
      </c>
      <c r="O44" s="23">
        <f>IF(OR(N44="",F44=""),J44,(F44+N44)/$F$52)</f>
        <v>4.2048757955771558E-2</v>
      </c>
      <c r="P44" s="15" t="s">
        <v>43</v>
      </c>
      <c r="Q44" s="56" t="s">
        <v>198</v>
      </c>
    </row>
    <row r="45" spans="1:17" s="56" customFormat="1" x14ac:dyDescent="0.2">
      <c r="A45" s="56" t="s">
        <v>76</v>
      </c>
      <c r="B45" s="14" t="s">
        <v>153</v>
      </c>
      <c r="C45" s="14" t="s">
        <v>194</v>
      </c>
      <c r="D45" s="48" t="str">
        <f>IF(RIGHT(LEFT(C45,11),7)=B45,"OK","CHECK")</f>
        <v>OK</v>
      </c>
      <c r="E45" s="56" t="s">
        <v>115</v>
      </c>
      <c r="F45" s="8">
        <v>148273.03</v>
      </c>
      <c r="G45" s="56">
        <v>123355.264</v>
      </c>
      <c r="H45" s="56" t="s">
        <v>118</v>
      </c>
      <c r="J45" s="6">
        <f>F45/F$52</f>
        <v>9.1636633446423796E-3</v>
      </c>
      <c r="K45" s="3">
        <v>0.01</v>
      </c>
      <c r="L45" s="21">
        <f>ROUND((K45-J45)*F$52,-2)</f>
        <v>13500</v>
      </c>
      <c r="M45" s="7"/>
      <c r="N45" s="44"/>
      <c r="O45" s="23">
        <f>IF(OR(N45="",F45=""),J45,(F45+N45)/$F$52)</f>
        <v>9.1636633446423796E-3</v>
      </c>
      <c r="P45" s="15" t="s">
        <v>43</v>
      </c>
      <c r="Q45" s="56" t="s">
        <v>198</v>
      </c>
    </row>
    <row r="46" spans="1:17" s="56" customFormat="1" x14ac:dyDescent="0.2">
      <c r="A46" s="56" t="s">
        <v>76</v>
      </c>
      <c r="B46" s="14" t="s">
        <v>154</v>
      </c>
      <c r="C46" s="14" t="s">
        <v>195</v>
      </c>
      <c r="D46" s="48" t="str">
        <f>IF(RIGHT(LEFT(C46,11),7)=B46,"OK","CHECK")</f>
        <v>OK</v>
      </c>
      <c r="E46" s="56" t="s">
        <v>116</v>
      </c>
      <c r="F46" s="8">
        <v>316080.76</v>
      </c>
      <c r="G46" s="56">
        <v>13417.7</v>
      </c>
      <c r="H46" s="56" t="s">
        <v>118</v>
      </c>
      <c r="J46" s="6">
        <f>F46/F$52</f>
        <v>1.9534622543012074E-2</v>
      </c>
      <c r="K46" s="3">
        <v>0.02</v>
      </c>
      <c r="L46" s="21">
        <f>ROUND((K46-J46)*F$52,-2)</f>
        <v>7500</v>
      </c>
      <c r="M46" s="7"/>
      <c r="N46" s="44"/>
      <c r="O46" s="23">
        <f>IF(OR(N46="",F46=""),J46,(F46+N46)/$F$52)</f>
        <v>1.9534622543012074E-2</v>
      </c>
      <c r="P46" s="15" t="s">
        <v>42</v>
      </c>
      <c r="Q46" s="56" t="s">
        <v>198</v>
      </c>
    </row>
    <row r="47" spans="1:17" s="56" customFormat="1" x14ac:dyDescent="0.2">
      <c r="A47" s="56" t="s">
        <v>76</v>
      </c>
      <c r="B47" s="14" t="s">
        <v>155</v>
      </c>
      <c r="C47" s="14" t="s">
        <v>196</v>
      </c>
      <c r="D47" s="48" t="str">
        <f>IF(RIGHT(LEFT(C47,11),7)=B47,"OK","CHECK")</f>
        <v>OK</v>
      </c>
      <c r="E47" s="56" t="s">
        <v>117</v>
      </c>
      <c r="F47" s="8">
        <v>305479.3</v>
      </c>
      <c r="G47" s="56">
        <v>426647.06199999998</v>
      </c>
      <c r="H47" s="56" t="s">
        <v>118</v>
      </c>
      <c r="J47" s="6">
        <f>F47/F$52</f>
        <v>1.8879424423693322E-2</v>
      </c>
      <c r="K47" s="3">
        <v>0.02</v>
      </c>
      <c r="L47" s="21">
        <f>ROUND((K47-J47)*F$52,-2)</f>
        <v>18100</v>
      </c>
      <c r="M47" s="7"/>
      <c r="N47" s="44"/>
      <c r="O47" s="23">
        <f>IF(OR(N47="",F47=""),J47,(F47+N47)/$F$52)</f>
        <v>1.8879424423693322E-2</v>
      </c>
      <c r="P47" s="15" t="s">
        <v>206</v>
      </c>
      <c r="Q47" s="56" t="s">
        <v>198</v>
      </c>
    </row>
    <row r="48" spans="1:17" ht="13.5" customHeight="1" thickBot="1" x14ac:dyDescent="0.25">
      <c r="E48" s="16"/>
      <c r="K48" s="4"/>
      <c r="L48" s="24"/>
      <c r="M48" s="17"/>
      <c r="N48" s="24"/>
      <c r="O48" s="15"/>
    </row>
    <row r="49" spans="1:16" ht="13.5" customHeight="1" thickBot="1" x14ac:dyDescent="0.25">
      <c r="B49" s="36" t="s">
        <v>52</v>
      </c>
      <c r="C49" s="47"/>
      <c r="D49" s="47"/>
      <c r="E49" s="37"/>
      <c r="F49" s="18">
        <v>285493.89</v>
      </c>
      <c r="J49" s="38" t="s">
        <v>53</v>
      </c>
      <c r="K49" s="57" t="s">
        <v>35</v>
      </c>
      <c r="L49" s="58"/>
      <c r="M49" s="39" t="s">
        <v>54</v>
      </c>
    </row>
    <row r="50" spans="1:16" x14ac:dyDescent="0.2">
      <c r="A50" s="5" t="s">
        <v>44</v>
      </c>
      <c r="B50" s="61" t="s">
        <v>55</v>
      </c>
      <c r="C50" s="62"/>
      <c r="D50" s="62"/>
      <c r="E50" s="62"/>
      <c r="F50" s="35">
        <f>VALU_JC+VALU_XA-VALU_BV+$F$49</f>
        <v>752487.52000000083</v>
      </c>
      <c r="G50" s="33">
        <v>349655.69</v>
      </c>
      <c r="H50" s="34">
        <v>15895047.060000001</v>
      </c>
      <c r="I50" s="34">
        <v>15777709.119999999</v>
      </c>
      <c r="J50" s="40">
        <f>F50/F52</f>
        <v>4.6505708450989752E-2</v>
      </c>
      <c r="K50" s="41">
        <v>0.04</v>
      </c>
      <c r="L50" s="42">
        <f>F50-SUM(L7:L48)</f>
        <v>647587.52000000083</v>
      </c>
      <c r="M50" s="43">
        <f>F50-SUM(N7:N49)</f>
        <v>607487.52000000083</v>
      </c>
      <c r="O50" s="23">
        <f>$M$50/$F$52</f>
        <v>3.7544326971342745E-2</v>
      </c>
      <c r="P50" s="5" t="s">
        <v>56</v>
      </c>
    </row>
    <row r="51" spans="1:16" x14ac:dyDescent="0.2">
      <c r="F51" s="27"/>
      <c r="G51" s="27"/>
      <c r="J51" s="23"/>
    </row>
    <row r="52" spans="1:16" x14ac:dyDescent="0.2">
      <c r="B52" s="63" t="s">
        <v>57</v>
      </c>
      <c r="C52" s="60"/>
      <c r="D52" s="60"/>
      <c r="E52" s="60"/>
      <c r="F52" s="28" cm="1">
        <f t="array" ref="F52">SUM(SUMIF(A:A,{"S","MF","G"},F:F))</f>
        <v>16180540.950000001</v>
      </c>
      <c r="I52" s="29">
        <f>MAX(J7:J50)</f>
        <v>6.5152333488578448E-2</v>
      </c>
      <c r="J52" s="23"/>
      <c r="K52" s="6">
        <f>SUM(K7:K51)</f>
        <v>1.0000000000000004</v>
      </c>
    </row>
    <row r="54" spans="1:16" x14ac:dyDescent="0.2">
      <c r="B54" s="59" t="str">
        <f>IF(I52&gt;0.2,"One or more of the holdings is currently over 20% of the portfolio value, please record the breach and report it to a fund manager",IF(I52&gt;0.15,"One or more of the holdings is over 15% of the portfolio value, please inform a fund manager",""))</f>
        <v/>
      </c>
      <c r="C54" s="60"/>
      <c r="D54" s="60"/>
      <c r="E54" s="60"/>
      <c r="F54" s="60"/>
      <c r="G54" s="60"/>
      <c r="H54" s="60"/>
      <c r="I54" s="60"/>
      <c r="J54" s="60"/>
      <c r="K54" s="11" t="s">
        <v>58</v>
      </c>
      <c r="L54" s="25">
        <f>SUM(L7:L48)</f>
        <v>104900</v>
      </c>
      <c r="M54" s="25">
        <f>SUM(N7:N48)</f>
        <v>145000</v>
      </c>
      <c r="N54" s="25"/>
    </row>
    <row r="55" spans="1:16" x14ac:dyDescent="0.2">
      <c r="B55" s="60"/>
      <c r="C55" s="60"/>
      <c r="D55" s="60"/>
      <c r="E55" s="60"/>
      <c r="F55" s="60"/>
      <c r="G55" s="60"/>
      <c r="H55" s="60"/>
      <c r="I55" s="60"/>
      <c r="J55" s="60"/>
      <c r="K55" s="6" t="s">
        <v>59</v>
      </c>
      <c r="L55" s="23">
        <f>($F$50-L54)/$F$52</f>
        <v>4.0022612470196853E-2</v>
      </c>
      <c r="M55" s="6">
        <f>($F$50-M54)/$F$52</f>
        <v>3.7544326971342745E-2</v>
      </c>
      <c r="N55" s="23"/>
    </row>
    <row r="56" spans="1:16" x14ac:dyDescent="0.2">
      <c r="B56" s="60"/>
      <c r="C56" s="60"/>
      <c r="D56" s="60"/>
      <c r="E56" s="60"/>
      <c r="F56" s="60"/>
      <c r="G56" s="60"/>
      <c r="H56" s="60"/>
      <c r="I56" s="60"/>
      <c r="J56" s="60"/>
    </row>
    <row r="57" spans="1:16" ht="32.25" customHeight="1" x14ac:dyDescent="0.2">
      <c r="E57" s="19" t="s">
        <v>60</v>
      </c>
      <c r="F57" s="12" t="s">
        <v>61</v>
      </c>
      <c r="G57" s="19"/>
      <c r="H57" s="19"/>
      <c r="I57" s="19"/>
      <c r="J57" s="20" t="s">
        <v>62</v>
      </c>
      <c r="K57" s="20" t="s">
        <v>63</v>
      </c>
      <c r="L57" s="22" t="s">
        <v>64</v>
      </c>
      <c r="M57" s="13"/>
      <c r="N57" s="22"/>
    </row>
    <row r="58" spans="1:16" x14ac:dyDescent="0.2">
      <c r="E58" s="32" t="s">
        <v>43</v>
      </c>
      <c r="F58" s="27">
        <f>SUMIF(P:P,E58,L:L)</f>
        <v>155700</v>
      </c>
      <c r="G58" s="27">
        <f>SUMIF(P:P,F58,G:G)+SUMIF(P:P,F58,O:O)</f>
        <v>0</v>
      </c>
      <c r="H58" s="27">
        <f>SUMIF(Q:Q,G58,H:H)+SUMIF(Q:Q,G58,P:P)</f>
        <v>0</v>
      </c>
      <c r="I58" s="27">
        <f>SUMIF(R:R,H58,I:I)+SUMIF(R:R,H58,Q:Q)</f>
        <v>0</v>
      </c>
      <c r="J58" s="29">
        <f>SUMIF(P:P,E58,K:K)</f>
        <v>0.41</v>
      </c>
      <c r="K58" s="29">
        <f>SUMIF(P:P,E58,$J:$J)</f>
        <v>0.40036708908672175</v>
      </c>
      <c r="L58" s="23">
        <f>SUMIF(P:P,E58,O:O)</f>
        <v>0.40932847056636873</v>
      </c>
    </row>
    <row r="59" spans="1:16" x14ac:dyDescent="0.2">
      <c r="E59" s="32" t="s">
        <v>48</v>
      </c>
      <c r="F59" s="27">
        <f>SUMIF(P:P,E59,L:L)</f>
        <v>18100</v>
      </c>
      <c r="J59" s="29">
        <f>SUMIF(P:P,E59,K:K)</f>
        <v>0.02</v>
      </c>
      <c r="K59" s="29">
        <f>SUMIF(P:P,E59,$J:$J)</f>
        <v>1.8879424423693322E-2</v>
      </c>
      <c r="L59" s="23">
        <f>SUMIF(P:P,E59,O:O)</f>
        <v>1.8879424423693322E-2</v>
      </c>
    </row>
    <row r="60" spans="1:16" x14ac:dyDescent="0.2">
      <c r="E60" s="46" t="s">
        <v>51</v>
      </c>
      <c r="F60" s="27">
        <f>SUMIF(P:P,E60,L:L)</f>
        <v>-14200</v>
      </c>
      <c r="J60" s="29">
        <f>SUMIF(P:P,E60,K:K)</f>
        <v>0.02</v>
      </c>
      <c r="K60" s="29">
        <f>SUMIF(P:P,E60,$J:$J)</f>
        <v>2.0878903310089889E-2</v>
      </c>
      <c r="L60" s="23">
        <f>SUMIF(P:P,E60,O:O)</f>
        <v>2.0878903310089889E-2</v>
      </c>
    </row>
    <row r="61" spans="1:16" x14ac:dyDescent="0.2">
      <c r="E61" s="15" t="s">
        <v>47</v>
      </c>
      <c r="F61" s="27">
        <f>SUMIF(P:P,E61,L:L)</f>
        <v>21600</v>
      </c>
      <c r="J61" s="29">
        <f>SUMIF(P:P,E61,K:K)</f>
        <v>0.04</v>
      </c>
      <c r="K61" s="29">
        <f>SUMIF(P:P,E61,$J:$J)</f>
        <v>3.8664208565907063E-2</v>
      </c>
      <c r="L61" s="23">
        <f>SUMIF(P:P,E61,O:O)</f>
        <v>3.8664208565907063E-2</v>
      </c>
    </row>
    <row r="62" spans="1:16" x14ac:dyDescent="0.2">
      <c r="E62" s="9" t="s">
        <v>65</v>
      </c>
      <c r="F62" s="28">
        <f>SUM(F58:F60)</f>
        <v>159600</v>
      </c>
      <c r="G62" s="30"/>
      <c r="H62" s="30"/>
      <c r="I62" s="30"/>
      <c r="J62" s="26">
        <f>SUM(J58:J61)</f>
        <v>0.49</v>
      </c>
      <c r="K62" s="26">
        <f>SUM(K58:K61)</f>
        <v>0.47878962538641207</v>
      </c>
      <c r="L62" s="26">
        <f>SUM(L58:L61)</f>
        <v>0.48775100686605904</v>
      </c>
    </row>
    <row r="63" spans="1:16" x14ac:dyDescent="0.2">
      <c r="F63" s="27"/>
      <c r="J63" s="23"/>
      <c r="K63" s="23"/>
    </row>
    <row r="64" spans="1:16" x14ac:dyDescent="0.2">
      <c r="E64" s="9" t="s">
        <v>66</v>
      </c>
      <c r="F64" s="27"/>
      <c r="J64" s="23"/>
      <c r="K64" s="23"/>
    </row>
    <row r="65" spans="5:12" x14ac:dyDescent="0.2">
      <c r="E65" s="32" t="s">
        <v>46</v>
      </c>
      <c r="F65" s="27">
        <f t="shared" ref="F65:F74" si="0">SUMIF(P:P,E65,L:L)</f>
        <v>-9000</v>
      </c>
      <c r="J65" s="29">
        <f t="shared" ref="J65:J74" si="1">SUMIF(P:P,E65,K:K)</f>
        <v>0.08</v>
      </c>
      <c r="K65" s="29">
        <f t="shared" ref="K65:K74" si="2">SUMIF(P:P,E65,$J:$J)</f>
        <v>8.054885952376023E-2</v>
      </c>
      <c r="L65" s="23">
        <f t="shared" ref="L65:L74" si="3">SUMIF(P:P,E65,O:O)</f>
        <v>8.054885952376023E-2</v>
      </c>
    </row>
    <row r="66" spans="5:12" x14ac:dyDescent="0.2">
      <c r="E66" s="32" t="s">
        <v>67</v>
      </c>
      <c r="F66" s="27">
        <f t="shared" si="0"/>
        <v>0</v>
      </c>
      <c r="J66" s="29">
        <f t="shared" si="1"/>
        <v>0</v>
      </c>
      <c r="K66" s="29">
        <f t="shared" si="2"/>
        <v>0</v>
      </c>
      <c r="L66" s="23">
        <f t="shared" si="3"/>
        <v>0</v>
      </c>
    </row>
    <row r="67" spans="5:12" x14ac:dyDescent="0.2">
      <c r="E67" s="32" t="s">
        <v>50</v>
      </c>
      <c r="F67" s="27">
        <f t="shared" si="0"/>
        <v>-45100</v>
      </c>
      <c r="J67" s="29">
        <f t="shared" si="1"/>
        <v>0.02</v>
      </c>
      <c r="K67" s="29">
        <f t="shared" si="2"/>
        <v>2.2789581704312546E-2</v>
      </c>
      <c r="L67" s="23">
        <f t="shared" si="3"/>
        <v>2.2789581704312546E-2</v>
      </c>
    </row>
    <row r="68" spans="5:12" x14ac:dyDescent="0.2">
      <c r="E68" s="32" t="s">
        <v>45</v>
      </c>
      <c r="F68" s="27">
        <f t="shared" si="0"/>
        <v>-1800</v>
      </c>
      <c r="J68" s="29">
        <f t="shared" si="1"/>
        <v>0.03</v>
      </c>
      <c r="K68" s="29">
        <f t="shared" si="2"/>
        <v>3.0109312878071608E-2</v>
      </c>
      <c r="L68" s="23">
        <f t="shared" si="3"/>
        <v>3.0109312878071608E-2</v>
      </c>
    </row>
    <row r="69" spans="5:12" x14ac:dyDescent="0.2">
      <c r="E69" s="32" t="s">
        <v>49</v>
      </c>
      <c r="F69" s="27">
        <f t="shared" si="0"/>
        <v>15900</v>
      </c>
      <c r="J69" s="29">
        <f t="shared" si="1"/>
        <v>0.03</v>
      </c>
      <c r="K69" s="29">
        <f t="shared" si="2"/>
        <v>2.9017295617672165E-2</v>
      </c>
      <c r="L69" s="23">
        <f t="shared" si="3"/>
        <v>2.9017295617672165E-2</v>
      </c>
    </row>
    <row r="70" spans="5:12" x14ac:dyDescent="0.2">
      <c r="E70" s="32" t="s">
        <v>42</v>
      </c>
      <c r="F70" s="27">
        <f t="shared" si="0"/>
        <v>-15400</v>
      </c>
      <c r="J70" s="29">
        <f t="shared" si="1"/>
        <v>9.0000000000000011E-2</v>
      </c>
      <c r="K70" s="29">
        <f t="shared" si="2"/>
        <v>9.0953069155577271E-2</v>
      </c>
      <c r="L70" s="23">
        <f t="shared" si="3"/>
        <v>9.0953069155577271E-2</v>
      </c>
    </row>
    <row r="71" spans="5:12" x14ac:dyDescent="0.2">
      <c r="E71" s="32" t="s">
        <v>41</v>
      </c>
      <c r="F71" s="27">
        <f t="shared" si="0"/>
        <v>7800</v>
      </c>
      <c r="J71" s="29">
        <f t="shared" si="1"/>
        <v>0.03</v>
      </c>
      <c r="K71" s="29">
        <f t="shared" si="2"/>
        <v>2.9521641549320386E-2</v>
      </c>
      <c r="L71" s="23">
        <f t="shared" si="3"/>
        <v>2.9521641549320386E-2</v>
      </c>
    </row>
    <row r="72" spans="5:12" x14ac:dyDescent="0.2">
      <c r="E72" s="46" t="s">
        <v>68</v>
      </c>
      <c r="F72" s="27">
        <f t="shared" si="0"/>
        <v>0</v>
      </c>
      <c r="J72" s="29">
        <f t="shared" si="1"/>
        <v>0</v>
      </c>
      <c r="K72" s="29">
        <f t="shared" si="2"/>
        <v>0</v>
      </c>
      <c r="L72" s="23">
        <f t="shared" si="3"/>
        <v>0</v>
      </c>
    </row>
    <row r="73" spans="5:12" x14ac:dyDescent="0.2">
      <c r="E73" s="46" t="s">
        <v>69</v>
      </c>
      <c r="F73" s="27">
        <f t="shared" si="0"/>
        <v>0</v>
      </c>
      <c r="J73" s="29">
        <f t="shared" si="1"/>
        <v>0</v>
      </c>
      <c r="K73" s="29">
        <f t="shared" si="2"/>
        <v>0</v>
      </c>
      <c r="L73" s="23">
        <f t="shared" si="3"/>
        <v>0</v>
      </c>
    </row>
    <row r="74" spans="5:12" x14ac:dyDescent="0.2">
      <c r="E74" s="32" t="s">
        <v>70</v>
      </c>
      <c r="F74" s="27">
        <f t="shared" si="0"/>
        <v>-2500</v>
      </c>
      <c r="J74" s="29">
        <f t="shared" si="1"/>
        <v>0.01</v>
      </c>
      <c r="K74" s="29">
        <f t="shared" si="2"/>
        <v>1.0151694588430927E-2</v>
      </c>
      <c r="L74" s="23">
        <f t="shared" si="3"/>
        <v>1.0151694588430927E-2</v>
      </c>
    </row>
    <row r="75" spans="5:12" x14ac:dyDescent="0.2">
      <c r="E75" s="9" t="s">
        <v>71</v>
      </c>
      <c r="F75" s="28">
        <f>SUM(F65:F74)</f>
        <v>-50100</v>
      </c>
      <c r="G75" s="30"/>
      <c r="H75" s="30"/>
      <c r="I75" s="30"/>
      <c r="J75" s="31">
        <f>SUM(J65:J74)</f>
        <v>0.29000000000000004</v>
      </c>
      <c r="K75" s="26">
        <f>SUM(K65:K74)</f>
        <v>0.29309145501714512</v>
      </c>
      <c r="L75" s="26">
        <f>SUM(L65:L74)</f>
        <v>0.29309145501714512</v>
      </c>
    </row>
    <row r="76" spans="5:12" x14ac:dyDescent="0.2">
      <c r="F76" s="27"/>
      <c r="J76" s="23"/>
      <c r="K76" s="23"/>
    </row>
    <row r="77" spans="5:12" x14ac:dyDescent="0.2">
      <c r="E77" s="5" t="s">
        <v>56</v>
      </c>
      <c r="F77" s="27">
        <f>SUMIF(O:O,E77,F:F)+SUMIF(O:O,E77,L:L)</f>
        <v>0</v>
      </c>
      <c r="J77" s="29">
        <f>SUMIF(P:P,E77,K:K)</f>
        <v>0.22</v>
      </c>
      <c r="K77" s="29">
        <f>SUMIF(P:P,E77,J:J)</f>
        <v>0.22811891959644282</v>
      </c>
      <c r="L77" s="23">
        <f>SUMIF(P:P,E77,O:O)</f>
        <v>0.21915753811679581</v>
      </c>
    </row>
    <row r="78" spans="5:12" x14ac:dyDescent="0.2">
      <c r="F78" s="23">
        <f>SUM(F62+F75+F77)</f>
        <v>109500</v>
      </c>
      <c r="J78" s="23">
        <f>SUM(J62+J75+J77)</f>
        <v>1</v>
      </c>
      <c r="K78" s="23">
        <f>SUM(K62+K75+K77)</f>
        <v>1</v>
      </c>
      <c r="L78" s="23">
        <f>SUM(L62+L75+L77)</f>
        <v>1</v>
      </c>
    </row>
  </sheetData>
  <autoFilter ref="A6:V6" xr:uid="{00000000-0001-0000-0200-000000000000}">
    <sortState xmlns:xlrd2="http://schemas.microsoft.com/office/spreadsheetml/2017/richdata2" ref="A7:V47">
      <sortCondition ref="B6"/>
    </sortState>
  </autoFilter>
  <mergeCells count="7">
    <mergeCell ref="K49:L49"/>
    <mergeCell ref="B54:J56"/>
    <mergeCell ref="B50:E50"/>
    <mergeCell ref="B52:E52"/>
    <mergeCell ref="B1:J1"/>
    <mergeCell ref="B2:J2"/>
    <mergeCell ref="B3:J3"/>
  </mergeCells>
  <conditionalFormatting sqref="B54:J56">
    <cfRule type="expression" dxfId="18" priority="190" stopIfTrue="1">
      <formula>$I52&gt;0.2</formula>
    </cfRule>
  </conditionalFormatting>
  <conditionalFormatting sqref="K48:K49">
    <cfRule type="expression" dxfId="17" priority="115" stopIfTrue="1">
      <formula>OR(J48-K48&gt;=0.005,J48-K48&lt;=-0.005)</formula>
    </cfRule>
  </conditionalFormatting>
  <conditionalFormatting sqref="K7">
    <cfRule type="expression" dxfId="16" priority="99" stopIfTrue="1">
      <formula>OR(J7-K7&gt;=0.005,J7-K7&lt;=-0.005)</formula>
    </cfRule>
  </conditionalFormatting>
  <conditionalFormatting sqref="O7">
    <cfRule type="expression" dxfId="15" priority="93" stopIfTrue="1">
      <formula>OR(O7-K7&gt;=0.005,O7-K7&lt;=-0.005)</formula>
    </cfRule>
  </conditionalFormatting>
  <conditionalFormatting sqref="E74 L58:L61">
    <cfRule type="expression" dxfId="14" priority="86" stopIfTrue="1">
      <formula>OR($L58-$J58&gt;=0.005,$L58-$J58&lt;=-0.005)</formula>
    </cfRule>
  </conditionalFormatting>
  <conditionalFormatting sqref="E58:E59">
    <cfRule type="expression" dxfId="13" priority="84" stopIfTrue="1">
      <formula>OR($L58-$J58&gt;=0.005,$L58-$J58&lt;=-0.005)</formula>
    </cfRule>
  </conditionalFormatting>
  <conditionalFormatting sqref="E65:E71">
    <cfRule type="expression" dxfId="12" priority="82" stopIfTrue="1">
      <formula>OR($L65-$J65&gt;=0.005,$L65-$J65&lt;=-0.005)</formula>
    </cfRule>
  </conditionalFormatting>
  <conditionalFormatting sqref="U5">
    <cfRule type="expression" dxfId="11" priority="72" stopIfTrue="1">
      <formula>$M5&lt;&gt;""</formula>
    </cfRule>
  </conditionalFormatting>
  <conditionalFormatting sqref="B48:D48">
    <cfRule type="expression" dxfId="10" priority="71" stopIfTrue="1">
      <formula>AND(OR($B48=$V$5,$B48=$V$6),$M48&lt;&gt;"")</formula>
    </cfRule>
  </conditionalFormatting>
  <conditionalFormatting sqref="F48">
    <cfRule type="expression" dxfId="9" priority="69" stopIfTrue="1">
      <formula>AND(OR($B48=$V$5,$B48=$V$6),$M48&lt;&gt;"")</formula>
    </cfRule>
  </conditionalFormatting>
  <conditionalFormatting sqref="E62:E202 E7 N7 N48:N202 E48:E60">
    <cfRule type="expression" dxfId="8" priority="191" stopIfTrue="1">
      <formula>$N7&lt;&gt;""</formula>
    </cfRule>
  </conditionalFormatting>
  <conditionalFormatting sqref="B7:E7">
    <cfRule type="expression" dxfId="7" priority="193" stopIfTrue="1">
      <formula>AND(OR($B7=$V$5,$B7=$V$6),$N7&lt;&gt;"")</formula>
    </cfRule>
  </conditionalFormatting>
  <conditionalFormatting sqref="F7">
    <cfRule type="expression" dxfId="6" priority="195" stopIfTrue="1">
      <formula>AND(OR($B7=$V$5,$B7=$V$6),$N7&lt;&gt;"")</formula>
    </cfRule>
  </conditionalFormatting>
  <conditionalFormatting sqref="L65:L74">
    <cfRule type="expression" dxfId="5" priority="56" stopIfTrue="1">
      <formula>OR($L65-$J65&gt;=0.005,$L65-$J65&lt;=-0.005)</formula>
    </cfRule>
  </conditionalFormatting>
  <conditionalFormatting sqref="K8:K47">
    <cfRule type="expression" dxfId="4" priority="2" stopIfTrue="1">
      <formula>OR(J8-K8&gt;=0.005,J8-K8&lt;=-0.005)</formula>
    </cfRule>
  </conditionalFormatting>
  <conditionalFormatting sqref="O8:O47">
    <cfRule type="expression" dxfId="3" priority="1" stopIfTrue="1">
      <formula>OR(O8-K8&gt;=0.005,O8-K8&lt;=-0.005)</formula>
    </cfRule>
  </conditionalFormatting>
  <conditionalFormatting sqref="E8:E47 N8:N47">
    <cfRule type="expression" dxfId="2" priority="3" stopIfTrue="1">
      <formula>$N8&lt;&gt;""</formula>
    </cfRule>
  </conditionalFormatting>
  <conditionalFormatting sqref="B8:E47">
    <cfRule type="expression" dxfId="1" priority="4" stopIfTrue="1">
      <formula>AND(OR($B8=$V$5,$B8=$V$6),$N8&lt;&gt;"")</formula>
    </cfRule>
  </conditionalFormatting>
  <conditionalFormatting sqref="F8:F47">
    <cfRule type="expression" dxfId="0" priority="5" stopIfTrue="1">
      <formula>AND(OR($B8=$V$5,$B8=$V$6),$N8&lt;&gt;"")</formula>
    </cfRule>
  </conditionalFormatting>
  <pageMargins left="0.75" right="0.75" top="1" bottom="1" header="0.5" footer="0.5"/>
  <pageSetup paperSize="9" scale="79" orientation="landscape"/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35</vt:i4>
      </vt:variant>
    </vt:vector>
  </HeadingPairs>
  <TitlesOfParts>
    <vt:vector size="38" baseType="lpstr">
      <vt:lpstr>IOControl</vt:lpstr>
      <vt:lpstr>APOLLO_LINKS</vt:lpstr>
      <vt:lpstr>Rebalancer</vt:lpstr>
      <vt:lpstr>DIST_2C_COL</vt:lpstr>
      <vt:lpstr>DIST_AG_COL</vt:lpstr>
      <vt:lpstr>DIST_CV_COL</vt:lpstr>
      <vt:lpstr>DIST_D1_COL</vt:lpstr>
      <vt:lpstr>DIST_DETAIL_ROW</vt:lpstr>
      <vt:lpstr>DIST_INSERTED_ROWS</vt:lpstr>
      <vt:lpstr>DIST_LC_COL</vt:lpstr>
      <vt:lpstr>DIST_NM_COL</vt:lpstr>
      <vt:lpstr>DIST_REQ_ACCOUNT</vt:lpstr>
      <vt:lpstr>DIST_REQ_DATE</vt:lpstr>
      <vt:lpstr>DIST_REQ_FILTER_CODE_1</vt:lpstr>
      <vt:lpstr>DIST_REQ_FILTER_CODE_2</vt:lpstr>
      <vt:lpstr>DIST_REQ_FILTER_OPERAND_1</vt:lpstr>
      <vt:lpstr>DIST_REQ_FILTER_OPERAND_2</vt:lpstr>
      <vt:lpstr>DIST_REQ_FILTER_VALUE_1</vt:lpstr>
      <vt:lpstr>DIST_REQ_FILTER_VALUE_2</vt:lpstr>
      <vt:lpstr>DIST_REQ_SCTY_ONLY</vt:lpstr>
      <vt:lpstr>DIST_SN_COL</vt:lpstr>
      <vt:lpstr>DIST_U5_COL</vt:lpstr>
      <vt:lpstr>IO_DATA</vt:lpstr>
      <vt:lpstr>IO_DATA2</vt:lpstr>
      <vt:lpstr>IO_REPORT_TYPE</vt:lpstr>
      <vt:lpstr>IO_REPORT_TYPE2</vt:lpstr>
      <vt:lpstr>PARM_Account</vt:lpstr>
      <vt:lpstr>PARM_Date</vt:lpstr>
      <vt:lpstr>Rebalancer!Print_Area</vt:lpstr>
      <vt:lpstr>VALU_BV</vt:lpstr>
      <vt:lpstr>VALU_JC</vt:lpstr>
      <vt:lpstr>VALU_MN</vt:lpstr>
      <vt:lpstr>VALU_REQ_ACCOUNT</vt:lpstr>
      <vt:lpstr>VALU_REQ_CLASS</vt:lpstr>
      <vt:lpstr>VALU_REQ_DATE</vt:lpstr>
      <vt:lpstr>VALU_REQ_PERIOD_TYPE</vt:lpstr>
      <vt:lpstr>VALU_REQ_PERIODS</vt:lpstr>
      <vt:lpstr>VALU_XA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Jealous</dc:creator>
  <cp:lastModifiedBy>Richard Armstrong</cp:lastModifiedBy>
  <cp:lastPrinted>2016-07-22T13:36:06Z</cp:lastPrinted>
  <dcterms:created xsi:type="dcterms:W3CDTF">2006-02-16T14:45:42Z</dcterms:created>
  <dcterms:modified xsi:type="dcterms:W3CDTF">2023-04-19T15:29:21Z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3f6bee-25a2-4071-976d-445ec8dd7ff4_Enabled">
    <vt:lpwstr>true</vt:lpwstr>
  </property>
  <property fmtid="{D5CDD505-2E9C-101B-9397-08002B2CF9AE}" pid="3" name="MSIP_Label_5b3f6bee-25a2-4071-976d-445ec8dd7ff4_SetDate">
    <vt:lpwstr>2022-02-24T16:22:12Z</vt:lpwstr>
  </property>
  <property fmtid="{D5CDD505-2E9C-101B-9397-08002B2CF9AE}" pid="4" name="MSIP_Label_5b3f6bee-25a2-4071-976d-445ec8dd7ff4_Method">
    <vt:lpwstr>Privileged</vt:lpwstr>
  </property>
  <property fmtid="{D5CDD505-2E9C-101B-9397-08002B2CF9AE}" pid="5" name="MSIP_Label_5b3f6bee-25a2-4071-976d-445ec8dd7ff4_Name">
    <vt:lpwstr>Public</vt:lpwstr>
  </property>
  <property fmtid="{D5CDD505-2E9C-101B-9397-08002B2CF9AE}" pid="6" name="MSIP_Label_5b3f6bee-25a2-4071-976d-445ec8dd7ff4_SiteId">
    <vt:lpwstr>2fe7c763-103c-4fdb-a047-7a3df607800d</vt:lpwstr>
  </property>
  <property fmtid="{D5CDD505-2E9C-101B-9397-08002B2CF9AE}" pid="7" name="MSIP_Label_5b3f6bee-25a2-4071-976d-445ec8dd7ff4_ActionId">
    <vt:lpwstr>f0f2e7c6-363b-475c-94f5-d6da150ca9e6</vt:lpwstr>
  </property>
  <property fmtid="{D5CDD505-2E9C-101B-9397-08002B2CF9AE}" pid="8" name="MSIP_Label_5b3f6bee-25a2-4071-976d-445ec8dd7ff4_ContentBits">
    <vt:lpwstr>0</vt:lpwstr>
  </property>
</Properties>
</file>