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Fund Management\Regulated Schemes\IBOSS\Dealing\Rebalancer sheets Excel and Templates\Rebalancers\"/>
    </mc:Choice>
  </mc:AlternateContent>
  <xr:revisionPtr revIDLastSave="0" documentId="8_{8FA9B90B-7C71-4B4A-8A64-E81F297722A2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IOControl" sheetId="1" r:id="rId1"/>
    <sheet name="APOLLO_LINKS" sheetId="2" state="hidden" r:id="rId2"/>
    <sheet name="Rebalancer" sheetId="3" r:id="rId3"/>
  </sheets>
  <definedNames>
    <definedName name="_xlnm._FilterDatabase" localSheetId="2" hidden="1">Rebalancer!$A$6:$V$6</definedName>
    <definedName name="DIST_2C_COL">Rebalancer!$P$7</definedName>
    <definedName name="DIST_AG_COL">Rebalancer!$A$7</definedName>
    <definedName name="DIST_CV_COL">Rebalancer!$G$7</definedName>
    <definedName name="DIST_D1_COL">Rebalancer!$E$7</definedName>
    <definedName name="DIST_DETAIL_ROW">Rebalancer!$7:$7</definedName>
    <definedName name="DIST_INSERTED_ROWS">Rebalancer!$8:$50</definedName>
    <definedName name="DIST_LC_COL">Rebalancer!$H$7</definedName>
    <definedName name="DIST_NM_COL">Rebalancer!$F$7</definedName>
    <definedName name="DIST_REQ_ACCOUNT">IOControl!$B$5</definedName>
    <definedName name="DIST_REQ_DATE">IOControl!$B$6</definedName>
    <definedName name="DIST_REQ_FILTER_CODE_1">IOControl!$G$2</definedName>
    <definedName name="DIST_REQ_FILTER_CODE_2">IOControl!$G$3</definedName>
    <definedName name="DIST_REQ_FILTER_OPERAND_1">IOControl!$H$2</definedName>
    <definedName name="DIST_REQ_FILTER_OPERAND_2">IOControl!$H$3</definedName>
    <definedName name="DIST_REQ_FILTER_VALUE_1">IOControl!$I$2</definedName>
    <definedName name="DIST_REQ_FILTER_VALUE_2">IOControl!$I$3</definedName>
    <definedName name="DIST_REQ_SCTY_ONLY">IOControl!$B$7</definedName>
    <definedName name="DIST_SN_COL">Rebalancer!$B$7</definedName>
    <definedName name="DIST_U5_COL">Rebalancer!$C$7</definedName>
    <definedName name="IO_CUR_COL">1</definedName>
    <definedName name="IO_CUR_ROW">7</definedName>
    <definedName name="IO_DATA">IOControl!$B$2</definedName>
    <definedName name="IO_DATA2">IOControl!$B$9</definedName>
    <definedName name="IO_REPORT_TYPE">IOControl!$B$3</definedName>
    <definedName name="IO_REPORT_TYPE2">IOControl!$B$10</definedName>
    <definedName name="PARM_Account">IOControl!$E$2</definedName>
    <definedName name="PARM_Date">IOControl!$E$3</definedName>
    <definedName name="_xlnm.Print_Area" localSheetId="2">Rebalancer!$A$1:$Q$55</definedName>
    <definedName name="VALU_BV">Rebalancer!$I$53</definedName>
    <definedName name="VALU_JC">Rebalancer!$G$53</definedName>
    <definedName name="VALU_MN">Rebalancer!$B$2</definedName>
    <definedName name="VALU_REQ_ACCOUNT">IOControl!$B$12</definedName>
    <definedName name="VALU_REQ_CLASS">IOControl!$B$13</definedName>
    <definedName name="VALU_REQ_DATE">IOControl!$B$14</definedName>
    <definedName name="VALU_REQ_PERIOD_TYPE">IOControl!$B$16</definedName>
    <definedName name="VALU_REQ_PERIODS">IOControl!$B$15</definedName>
    <definedName name="VALU_XA">Rebalancer!$H$53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0" i="3" l="1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B6" i="1"/>
  <c r="D7" i="3"/>
  <c r="M57" i="3"/>
  <c r="J64" i="3" l="1"/>
  <c r="J80" i="3"/>
  <c r="J77" i="3"/>
  <c r="L76" i="3"/>
  <c r="K76" i="3"/>
  <c r="J76" i="3"/>
  <c r="F76" i="3"/>
  <c r="L75" i="3"/>
  <c r="K75" i="3"/>
  <c r="J75" i="3"/>
  <c r="F75" i="3"/>
  <c r="J74" i="3"/>
  <c r="J73" i="3"/>
  <c r="J72" i="3"/>
  <c r="J71" i="3"/>
  <c r="J70" i="3"/>
  <c r="J69" i="3"/>
  <c r="J68" i="3"/>
  <c r="J63" i="3"/>
  <c r="J62" i="3"/>
  <c r="J61" i="3"/>
  <c r="K55" i="3"/>
  <c r="F53" i="3"/>
  <c r="F55" i="3" s="1" a="1"/>
  <c r="F55" i="3" s="1"/>
  <c r="B4" i="3"/>
  <c r="B3" i="3"/>
  <c r="L1" i="3"/>
  <c r="B14" i="1"/>
  <c r="B12" i="1"/>
  <c r="B5" i="1"/>
  <c r="J50" i="3" l="1"/>
  <c r="J48" i="3"/>
  <c r="J46" i="3"/>
  <c r="J44" i="3"/>
  <c r="J42" i="3"/>
  <c r="J40" i="3"/>
  <c r="J38" i="3"/>
  <c r="J36" i="3"/>
  <c r="J34" i="3"/>
  <c r="J32" i="3"/>
  <c r="J30" i="3"/>
  <c r="J28" i="3"/>
  <c r="J26" i="3"/>
  <c r="J24" i="3"/>
  <c r="J22" i="3"/>
  <c r="J20" i="3"/>
  <c r="J18" i="3"/>
  <c r="J16" i="3"/>
  <c r="J14" i="3"/>
  <c r="J12" i="3"/>
  <c r="J10" i="3"/>
  <c r="J8" i="3"/>
  <c r="J49" i="3"/>
  <c r="J47" i="3"/>
  <c r="J45" i="3"/>
  <c r="J43" i="3"/>
  <c r="J41" i="3"/>
  <c r="J39" i="3"/>
  <c r="J37" i="3"/>
  <c r="J35" i="3"/>
  <c r="J33" i="3"/>
  <c r="J31" i="3"/>
  <c r="J29" i="3"/>
  <c r="J27" i="3"/>
  <c r="J25" i="3"/>
  <c r="J23" i="3"/>
  <c r="J21" i="3"/>
  <c r="J19" i="3"/>
  <c r="J17" i="3"/>
  <c r="J15" i="3"/>
  <c r="J13" i="3"/>
  <c r="J11" i="3"/>
  <c r="J9" i="3"/>
  <c r="J7" i="3"/>
  <c r="J65" i="3"/>
  <c r="J78" i="3"/>
  <c r="M53" i="3"/>
  <c r="O47" i="3" l="1"/>
  <c r="L47" i="3"/>
  <c r="O17" i="3"/>
  <c r="L17" i="3"/>
  <c r="O33" i="3"/>
  <c r="L33" i="3"/>
  <c r="O49" i="3"/>
  <c r="L49" i="3"/>
  <c r="O22" i="3"/>
  <c r="L22" i="3"/>
  <c r="O38" i="3"/>
  <c r="L38" i="3"/>
  <c r="O24" i="3"/>
  <c r="L24" i="3"/>
  <c r="O15" i="3"/>
  <c r="L15" i="3"/>
  <c r="O36" i="3"/>
  <c r="L36" i="3"/>
  <c r="O19" i="3"/>
  <c r="L19" i="3"/>
  <c r="O10" i="3"/>
  <c r="L10" i="3"/>
  <c r="O25" i="3"/>
  <c r="L25" i="3"/>
  <c r="O31" i="3"/>
  <c r="L31" i="3"/>
  <c r="O20" i="3"/>
  <c r="L20" i="3"/>
  <c r="O35" i="3"/>
  <c r="L35" i="3"/>
  <c r="O40" i="3"/>
  <c r="L40" i="3"/>
  <c r="O37" i="3"/>
  <c r="L37" i="3"/>
  <c r="O26" i="3"/>
  <c r="L26" i="3"/>
  <c r="O39" i="3"/>
  <c r="L39" i="3"/>
  <c r="O28" i="3"/>
  <c r="L28" i="3"/>
  <c r="O44" i="3"/>
  <c r="L44" i="3"/>
  <c r="O9" i="3"/>
  <c r="L9" i="3"/>
  <c r="O41" i="3"/>
  <c r="L41" i="3"/>
  <c r="O14" i="3"/>
  <c r="L14" i="3"/>
  <c r="O30" i="3"/>
  <c r="L30" i="3"/>
  <c r="O46" i="3"/>
  <c r="L46" i="3"/>
  <c r="O11" i="3"/>
  <c r="L11" i="3"/>
  <c r="O27" i="3"/>
  <c r="L27" i="3"/>
  <c r="O43" i="3"/>
  <c r="L43" i="3"/>
  <c r="O16" i="3"/>
  <c r="L16" i="3"/>
  <c r="O32" i="3"/>
  <c r="L32" i="3"/>
  <c r="O48" i="3"/>
  <c r="L48" i="3"/>
  <c r="O8" i="3"/>
  <c r="L8" i="3"/>
  <c r="O21" i="3"/>
  <c r="L21" i="3"/>
  <c r="O42" i="3"/>
  <c r="L42" i="3"/>
  <c r="O23" i="3"/>
  <c r="L23" i="3"/>
  <c r="O12" i="3"/>
  <c r="L12" i="3"/>
  <c r="O13" i="3"/>
  <c r="L13" i="3"/>
  <c r="O29" i="3"/>
  <c r="L29" i="3"/>
  <c r="O45" i="3"/>
  <c r="L45" i="3"/>
  <c r="O18" i="3"/>
  <c r="L18" i="3"/>
  <c r="O34" i="3"/>
  <c r="L34" i="3"/>
  <c r="O50" i="3"/>
  <c r="L50" i="3"/>
  <c r="O7" i="3"/>
  <c r="L7" i="3"/>
  <c r="K64" i="3"/>
  <c r="J81" i="3"/>
  <c r="O53" i="3"/>
  <c r="M58" i="3"/>
  <c r="J53" i="3"/>
  <c r="K77" i="3"/>
  <c r="L70" i="3" l="1"/>
  <c r="K72" i="3"/>
  <c r="K80" i="3"/>
  <c r="F62" i="3"/>
  <c r="K69" i="3"/>
  <c r="K62" i="3"/>
  <c r="I55" i="3"/>
  <c r="B57" i="3" s="1"/>
  <c r="K63" i="3"/>
  <c r="K61" i="3"/>
  <c r="L77" i="3"/>
  <c r="F77" i="3"/>
  <c r="K70" i="3"/>
  <c r="K71" i="3"/>
  <c r="K73" i="3"/>
  <c r="L80" i="3"/>
  <c r="F63" i="3"/>
  <c r="L63" i="3"/>
  <c r="K74" i="3"/>
  <c r="K68" i="3"/>
  <c r="F64" i="3" l="1"/>
  <c r="L57" i="3"/>
  <c r="L58" i="3" s="1"/>
  <c r="L72" i="3"/>
  <c r="L74" i="3"/>
  <c r="F69" i="3"/>
  <c r="L69" i="3"/>
  <c r="L62" i="3"/>
  <c r="F73" i="3"/>
  <c r="F70" i="3"/>
  <c r="L61" i="3"/>
  <c r="K65" i="3"/>
  <c r="K78" i="3"/>
  <c r="F80" i="3"/>
  <c r="L64" i="3"/>
  <c r="F61" i="3"/>
  <c r="G61" i="3" s="1"/>
  <c r="H61" i="3" s="1"/>
  <c r="I61" i="3" s="1"/>
  <c r="L71" i="3"/>
  <c r="F68" i="3"/>
  <c r="F72" i="3"/>
  <c r="F74" i="3"/>
  <c r="L68" i="3"/>
  <c r="L53" i="3"/>
  <c r="F71" i="3"/>
  <c r="L73" i="3"/>
  <c r="F78" i="3" l="1"/>
  <c r="K81" i="3"/>
  <c r="L65" i="3"/>
  <c r="F65" i="3"/>
  <c r="L78" i="3"/>
  <c r="F81" i="3" l="1"/>
  <c r="L8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<sst xmlns="http://schemas.openxmlformats.org/spreadsheetml/2006/main" count="387" uniqueCount="215">
  <si>
    <t>Parms</t>
  </si>
  <si>
    <t>Filters</t>
  </si>
  <si>
    <t>Data Source</t>
  </si>
  <si>
    <t>DIST</t>
  </si>
  <si>
    <t>PARM_Account</t>
  </si>
  <si>
    <t>AG</t>
  </si>
  <si>
    <t>=</t>
  </si>
  <si>
    <t>S:MF</t>
  </si>
  <si>
    <t>Report Type</t>
  </si>
  <si>
    <t>LIST</t>
  </si>
  <si>
    <t>PARM_Date</t>
  </si>
  <si>
    <t>MV</t>
  </si>
  <si>
    <t>!</t>
  </si>
  <si>
    <t>Account</t>
  </si>
  <si>
    <t>Date</t>
  </si>
  <si>
    <t>Scty Only</t>
  </si>
  <si>
    <t>Y</t>
  </si>
  <si>
    <t>VALU</t>
  </si>
  <si>
    <t>REPORT</t>
  </si>
  <si>
    <t>Class</t>
  </si>
  <si>
    <t>0</t>
  </si>
  <si>
    <t>Periods</t>
  </si>
  <si>
    <t>1</t>
  </si>
  <si>
    <t>Period Type</t>
  </si>
  <si>
    <t>D</t>
  </si>
  <si>
    <t>Portfolio Holdings</t>
  </si>
  <si>
    <t>NUMBER OF TRADES</t>
  </si>
  <si>
    <t>MI TWENTYFOUR DYNAMIC BOND I GROSS ACC</t>
  </si>
  <si>
    <t>B5VNH23</t>
  </si>
  <si>
    <t>SEDOL</t>
  </si>
  <si>
    <t>ISIN</t>
  </si>
  <si>
    <t>ISIN Check</t>
  </si>
  <si>
    <t>Fund Name</t>
  </si>
  <si>
    <t>Market Value</t>
  </si>
  <si>
    <t>%</t>
  </si>
  <si>
    <t>Target</t>
  </si>
  <si>
    <t>Undeweight Overweight</t>
  </si>
  <si>
    <t>Deal Amount</t>
  </si>
  <si>
    <t>Post Trade %</t>
  </si>
  <si>
    <t>ARDEVORA GLOBAL EQUITY C</t>
  </si>
  <si>
    <t>B4XSRG3</t>
  </si>
  <si>
    <t>EMERGING MARKETS</t>
  </si>
  <si>
    <t>GLOBAL</t>
  </si>
  <si>
    <t>BOND</t>
  </si>
  <si>
    <t>S</t>
  </si>
  <si>
    <t>EUROPE</t>
  </si>
  <si>
    <t>UK</t>
  </si>
  <si>
    <t>ABSOLUTE RETURN</t>
  </si>
  <si>
    <t>PROPERTY</t>
  </si>
  <si>
    <t>USA</t>
  </si>
  <si>
    <t>ASIA PACIFIC</t>
  </si>
  <si>
    <t>COMMODITY</t>
  </si>
  <si>
    <t>Adjustment Cash</t>
  </si>
  <si>
    <t>Current</t>
  </si>
  <si>
    <t>Post Trade</t>
  </si>
  <si>
    <t>Uninvested Cash + Net Income + Adjustment Cash</t>
  </si>
  <si>
    <t>CASH/MONEY MARKETS</t>
  </si>
  <si>
    <t>Total Portfolio Value</t>
  </si>
  <si>
    <t>Total Deals</t>
  </si>
  <si>
    <t>New Cash</t>
  </si>
  <si>
    <t>Bonds</t>
  </si>
  <si>
    <t>Deal to Target</t>
  </si>
  <si>
    <t>TARGET Exposure</t>
  </si>
  <si>
    <t>CURRENT Exposure</t>
  </si>
  <si>
    <t>POST TRADE Exposure</t>
  </si>
  <si>
    <t>Total Bonds + Property</t>
  </si>
  <si>
    <t>Equities</t>
  </si>
  <si>
    <t>UK EQUITY INCOME</t>
  </si>
  <si>
    <t xml:space="preserve">IA 20-60% </t>
  </si>
  <si>
    <t xml:space="preserve">IA 0-35% </t>
  </si>
  <si>
    <t>JAPAN</t>
  </si>
  <si>
    <t>Total Equities</t>
  </si>
  <si>
    <t>Unit Quantity</t>
  </si>
  <si>
    <t>Currency</t>
  </si>
  <si>
    <t>Sector</t>
  </si>
  <si>
    <t>Manager's Comments</t>
  </si>
  <si>
    <t>MF</t>
  </si>
  <si>
    <t>BLACKROCK EMER MRKTS-A ACC</t>
  </si>
  <si>
    <t>BAILLIE GIFFORD EMERGING MARKETS GROWTH ACC B</t>
  </si>
  <si>
    <t>Janus Henderson Strategic Bond Fund I Acc</t>
  </si>
  <si>
    <t>FSSA Greater China Growth Fund Class B Acc GBP</t>
  </si>
  <si>
    <t>MAN GLG UK INCOME PROFESSIONAL C ACC</t>
  </si>
  <si>
    <t>Stwrt Invstrs Indian Sstn  Class B Acc GBP</t>
  </si>
  <si>
    <t>INVESTEC GLOBAL GOLD I ACC</t>
  </si>
  <si>
    <t>ARTEMIS UK SELECT FUND I ACC</t>
  </si>
  <si>
    <t>Baillie Gifford China Fund B Acc</t>
  </si>
  <si>
    <t>Ryl Lndn International Government Bond M Inc</t>
  </si>
  <si>
    <t>VANGUARD GLOBAL BOND INDEX FUND GBP HEDGED ACC</t>
  </si>
  <si>
    <t>HENDERSON EUROPEAN FOCUS I ACC</t>
  </si>
  <si>
    <t>LAZARD GLOBAL LISTED INFRASTRUCTURE EQ INST ACC</t>
  </si>
  <si>
    <t>Stwrt Invstrs GEM Sustainability Class B Acc GBP</t>
  </si>
  <si>
    <t>ISHARES JAPAN EQ D ACC</t>
  </si>
  <si>
    <t>FIDELITY SOUTH EAST ASIA W ACC</t>
  </si>
  <si>
    <t>RATHBONE ETHICL BND I ACC "UF"</t>
  </si>
  <si>
    <t>RATHBONE GLOBAL OPPORTUNITIES INSTITUTIONAL ACC</t>
  </si>
  <si>
    <t>FIDELITY GLOBAL DIVIDEND W ACC</t>
  </si>
  <si>
    <t>MFM SLATER GROWTH CLASS P ACC</t>
  </si>
  <si>
    <t>HSBC EUROPEAN INDEX C ACC</t>
  </si>
  <si>
    <t>JPM NATURAL RESOURCES C ACC</t>
  </si>
  <si>
    <t>MARLBOROUGH EUROPEAN MULTI-CAP P INC</t>
  </si>
  <si>
    <t>JPM JAPAN FUND C - NET ACCUMULATION</t>
  </si>
  <si>
    <t>POLAR CAPITAL UK VALUE OPPORTUNITIES S GBP ACC</t>
  </si>
  <si>
    <t>L&amp;G GLOBAL INFRASTRUCTURE INDEX FUND C ACC</t>
  </si>
  <si>
    <t>VANGUARD U.S. GOVERNMENT BOND INDEX GBP HEDGED ACC</t>
  </si>
  <si>
    <t>M&amp;G Global Listed Infrastructure Fund GBP PP Acc</t>
  </si>
  <si>
    <t>M&amp;G Japan Fund Sterling PP Acc</t>
  </si>
  <si>
    <t>M&amp;G North American Value Fund Sterling PP Acc</t>
  </si>
  <si>
    <t>M&amp;G Short Dated Corp Bd Fund Sterling PP Acc</t>
  </si>
  <si>
    <t>L&amp;G GLOBAL EMERGING MARKETS INDEX C ACC</t>
  </si>
  <si>
    <t>L&amp;G PACIFIC INDEX C ACC</t>
  </si>
  <si>
    <t>LEGAL &amp; GENERAL UK 100 INDEX TRUST C ACC</t>
  </si>
  <si>
    <t>LEGAL &amp; GENERAL US INDEX TRUST C CLASS ACC</t>
  </si>
  <si>
    <t>VANGUARD GLOBAL SHORT-TERM BOND INDEX GBP HDGD ACC</t>
  </si>
  <si>
    <t>Janus Henderson UK Responsible Income Fund I Acc</t>
  </si>
  <si>
    <t>LF Ruffer Div Return I GBP Acc</t>
  </si>
  <si>
    <t>Fidelity Asia Pacific Opportunities Fund W Acc</t>
  </si>
  <si>
    <t>Comgest Growth Europe ex UK GBP SU Acc</t>
  </si>
  <si>
    <t>TWENTYFOUR CORP BOND-I GBP ACC</t>
  </si>
  <si>
    <t>JPM Global Bond Opp Fund C - Gross Acc</t>
  </si>
  <si>
    <t>GUINNESS GLOBAL EQUITY INCOME CLASS Y GBP ACCUMULA</t>
  </si>
  <si>
    <t>L&amp;G GLOBAL REAL ESTATE DIVIDEND INDEX C ACC</t>
  </si>
  <si>
    <t>GBP</t>
  </si>
  <si>
    <t>B0117C2</t>
  </si>
  <si>
    <t>B1FXTG9</t>
  </si>
  <si>
    <t>B1XFGM2</t>
  </si>
  <si>
    <t>B2PLJG0</t>
  </si>
  <si>
    <t>B39RMM8</t>
  </si>
  <si>
    <t>B45XHL1 U</t>
  </si>
  <si>
    <t>B50W2R1</t>
  </si>
  <si>
    <t>B54J0L8</t>
  </si>
  <si>
    <t>B5NXD34 F</t>
  </si>
  <si>
    <t>B64TS99</t>
  </si>
  <si>
    <t>B6QQ9X9</t>
  </si>
  <si>
    <t>B6Y7NF4</t>
  </si>
  <si>
    <t>B77DQT1</t>
  </si>
  <si>
    <t>B7FQLN1</t>
  </si>
  <si>
    <t>B7GJPN7</t>
  </si>
  <si>
    <t>B7T0G90</t>
  </si>
  <si>
    <t>B80QGH2</t>
  </si>
  <si>
    <t>B88MP08</t>
  </si>
  <si>
    <t>B90VHJ3</t>
  </si>
  <si>
    <t>B9Z1HQ5</t>
  </si>
  <si>
    <t>BD81XV7</t>
  </si>
  <si>
    <t>BF0TZL7</t>
  </si>
  <si>
    <t>BFRTDB6</t>
  </si>
  <si>
    <t>BG03Y31</t>
  </si>
  <si>
    <t>BG03Y53</t>
  </si>
  <si>
    <t>BG03Y64</t>
  </si>
  <si>
    <t>BG08704</t>
  </si>
  <si>
    <t>BG0QP48</t>
  </si>
  <si>
    <t>BG0QPB5</t>
  </si>
  <si>
    <t>BG0QPG0</t>
  </si>
  <si>
    <t>BG0QPL5</t>
  </si>
  <si>
    <t>BH65QG5</t>
  </si>
  <si>
    <t>BLH3923</t>
  </si>
  <si>
    <t>BMWLQW8</t>
  </si>
  <si>
    <t>BQ1SWL9</t>
  </si>
  <si>
    <t>BQ1YBM1</t>
  </si>
  <si>
    <t>BSMTGG8</t>
  </si>
  <si>
    <t>BV9GHX7</t>
  </si>
  <si>
    <t>BVYPNY2</t>
  </si>
  <si>
    <t>BYW7CL1</t>
  </si>
  <si>
    <t>GB0005860944</t>
  </si>
  <si>
    <t>GB0006020647</t>
  </si>
  <si>
    <t>GB0007533820</t>
  </si>
  <si>
    <t>GB0033874321</t>
  </si>
  <si>
    <t>GB00B0117C28</t>
  </si>
  <si>
    <t>GB00B1FXTG93</t>
  </si>
  <si>
    <t>GB00B1XFGM25</t>
  </si>
  <si>
    <t>GB00B2PLJG05</t>
  </si>
  <si>
    <t>GB00B39RMM81</t>
  </si>
  <si>
    <t>GB00B45XHL18</t>
  </si>
  <si>
    <t>IE00B50W2R13</t>
  </si>
  <si>
    <t>GB00B54J0L85</t>
  </si>
  <si>
    <t>IE00B5NXD345</t>
  </si>
  <si>
    <t>GB00B64TS998</t>
  </si>
  <si>
    <t>GB00B6QQ9X96</t>
  </si>
  <si>
    <t>GB00B6Y7NF43</t>
  </si>
  <si>
    <t>GB00B77DQT14</t>
  </si>
  <si>
    <t>GB00B7FQLN12</t>
  </si>
  <si>
    <t>GB00B7GJPN73</t>
  </si>
  <si>
    <t>GB00B7T0G907</t>
  </si>
  <si>
    <t>GB00B80QGH28</t>
  </si>
  <si>
    <t>GB00B88MP089</t>
  </si>
  <si>
    <t>GB00B90VHJ34</t>
  </si>
  <si>
    <t>GB00B9Z1HQ52</t>
  </si>
  <si>
    <t>IE00BD81XV77</t>
  </si>
  <si>
    <t>GB00BF0TZL74</t>
  </si>
  <si>
    <t>IE00BFRTDB69</t>
  </si>
  <si>
    <t>GB00BG03Y314</t>
  </si>
  <si>
    <t>GB00BG03Y538</t>
  </si>
  <si>
    <t>GB00BG03Y645</t>
  </si>
  <si>
    <t>GB00BG087047</t>
  </si>
  <si>
    <t>GB00BG0QP489</t>
  </si>
  <si>
    <t>GB00BG0QPB53</t>
  </si>
  <si>
    <t>GB00BG0QPG09</t>
  </si>
  <si>
    <t>GB00BG0QPL51</t>
  </si>
  <si>
    <t>IE00BH65QG55</t>
  </si>
  <si>
    <t>GB00BLH39230</t>
  </si>
  <si>
    <t>GB00BMWLQW82</t>
  </si>
  <si>
    <t>GB00BQ1SWL90</t>
  </si>
  <si>
    <t>IE00BQ1YBM13</t>
  </si>
  <si>
    <t>IE00BSMTGG87</t>
  </si>
  <si>
    <t>GB00BV9GHX75</t>
  </si>
  <si>
    <t>IE00BVYPNY24</t>
  </si>
  <si>
    <t>GB00BYW7CL14</t>
  </si>
  <si>
    <t>IBOSS 6</t>
  </si>
  <si>
    <t>CIS</t>
  </si>
  <si>
    <t>Emerging Markets</t>
  </si>
  <si>
    <t>Commodity</t>
  </si>
  <si>
    <t>Asia Pacific</t>
  </si>
  <si>
    <t>Japan</t>
  </si>
  <si>
    <t>Bond</t>
  </si>
  <si>
    <t>Global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</si>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</sst>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;[Red]\(&quot;£&quot;#,##0.0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6">
    <xf numFmtId="0" fontId="0" fillId="0" borderId="0" xfId="0"/>
    <xf numFmtId="15" fontId="0" fillId="0" borderId="0" xfId="0" applyNumberFormat="1"/>
    <xf numFmtId="14" fontId="0" fillId="0" borderId="0" xfId="0" applyNumberFormat="1"/>
    <xf numFmtId="10" fontId="0" fillId="2" borderId="0" xfId="0" applyNumberFormat="1" applyFill="1" applyAlignment="1" applyProtection="1">
      <alignment horizontal="right"/>
      <protection locked="0"/>
    </xf>
    <xf numFmtId="10" fontId="0" fillId="3" borderId="0" xfId="0" applyNumberFormat="1" applyFill="1" applyAlignment="1" applyProtection="1">
      <alignment horizontal="right"/>
      <protection locked="0"/>
    </xf>
    <xf numFmtId="0" fontId="0" fillId="0" borderId="0" xfId="0" applyProtection="1">
      <protection locked="0"/>
    </xf>
    <xf numFmtId="10" fontId="0" fillId="0" borderId="0" xfId="0" applyNumberFormat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0" fillId="0" borderId="0" xfId="0" applyNumberFormat="1" applyProtection="1"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right"/>
      <protection locked="0"/>
    </xf>
    <xf numFmtId="10" fontId="1" fillId="0" borderId="0" xfId="0" applyNumberFormat="1" applyFont="1" applyAlignment="1" applyProtection="1">
      <alignment horizontal="right"/>
      <protection locked="0"/>
    </xf>
    <xf numFmtId="164" fontId="1" fillId="0" borderId="0" xfId="0" applyNumberFormat="1" applyFont="1" applyAlignment="1" applyProtection="1">
      <alignment horizontal="center" vertical="center" wrapText="1"/>
      <protection locked="0"/>
    </xf>
    <xf numFmtId="164" fontId="1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left"/>
      <protection locked="0"/>
    </xf>
    <xf numFmtId="0" fontId="2" fillId="0" borderId="0" xfId="0" applyFont="1" applyProtection="1">
      <protection locked="0"/>
    </xf>
    <xf numFmtId="0" fontId="0" fillId="4" borderId="0" xfId="0" applyFill="1" applyProtection="1">
      <protection locked="0"/>
    </xf>
    <xf numFmtId="164" fontId="0" fillId="4" borderId="1" xfId="0" applyNumberFormat="1" applyFill="1" applyBorder="1" applyAlignment="1" applyProtection="1">
      <alignment horizontal="right"/>
      <protection locked="0"/>
    </xf>
    <xf numFmtId="164" fontId="0" fillId="5" borderId="2" xfId="0" applyNumberFormat="1" applyFill="1" applyBorder="1" applyProtection="1">
      <protection locked="0"/>
    </xf>
    <xf numFmtId="0" fontId="1" fillId="0" borderId="0" xfId="0" applyFont="1" applyAlignment="1" applyProtection="1">
      <alignment wrapText="1"/>
      <protection locked="0"/>
    </xf>
    <xf numFmtId="10" fontId="1" fillId="0" borderId="0" xfId="0" applyNumberFormat="1" applyFont="1" applyAlignment="1" applyProtection="1">
      <alignment horizontal="center" vertical="center" wrapText="1"/>
      <protection locked="0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center" vertical="center" wrapText="1"/>
    </xf>
    <xf numFmtId="10" fontId="0" fillId="0" borderId="0" xfId="0" applyNumberFormat="1" applyAlignment="1">
      <alignment horizontal="right"/>
    </xf>
    <xf numFmtId="164" fontId="0" fillId="4" borderId="0" xfId="0" applyNumberFormat="1" applyFill="1" applyAlignment="1">
      <alignment horizontal="right"/>
    </xf>
    <xf numFmtId="164" fontId="2" fillId="0" borderId="0" xfId="0" applyNumberFormat="1" applyFont="1" applyAlignment="1">
      <alignment horizontal="right"/>
    </xf>
    <xf numFmtId="10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10" fontId="0" fillId="0" borderId="0" xfId="0" applyNumberFormat="1"/>
    <xf numFmtId="0" fontId="1" fillId="0" borderId="0" xfId="0" applyFont="1"/>
    <xf numFmtId="10" fontId="1" fillId="0" borderId="0" xfId="0" applyNumberFormat="1" applyFont="1" applyAlignment="1">
      <alignment horizontal="right"/>
    </xf>
    <xf numFmtId="10" fontId="0" fillId="0" borderId="0" xfId="0" applyNumberFormat="1" applyAlignment="1">
      <alignment horizontal="left"/>
    </xf>
    <xf numFmtId="164" fontId="0" fillId="0" borderId="3" xfId="0" applyNumberFormat="1" applyBorder="1"/>
    <xf numFmtId="0" fontId="0" fillId="0" borderId="3" xfId="0" applyBorder="1"/>
    <xf numFmtId="164" fontId="0" fillId="0" borderId="4" xfId="0" applyNumberFormat="1" applyBorder="1"/>
    <xf numFmtId="0" fontId="1" fillId="5" borderId="5" xfId="1" applyFont="1" applyFill="1" applyBorder="1" applyAlignment="1" applyProtection="1">
      <alignment horizontal="left"/>
      <protection locked="0"/>
    </xf>
    <xf numFmtId="0" fontId="2" fillId="5" borderId="6" xfId="1" applyFill="1" applyBorder="1" applyAlignment="1" applyProtection="1">
      <alignment horizontal="left"/>
      <protection locked="0"/>
    </xf>
    <xf numFmtId="10" fontId="1" fillId="0" borderId="7" xfId="0" applyNumberFormat="1" applyFont="1" applyBorder="1" applyAlignment="1" applyProtection="1">
      <alignment horizontal="center"/>
      <protection locked="0"/>
    </xf>
    <xf numFmtId="164" fontId="1" fillId="0" borderId="8" xfId="0" applyNumberFormat="1" applyFont="1" applyBorder="1" applyAlignment="1" applyProtection="1">
      <alignment horizontal="center"/>
      <protection locked="0"/>
    </xf>
    <xf numFmtId="10" fontId="0" fillId="0" borderId="8" xfId="0" applyNumberFormat="1" applyBorder="1" applyAlignment="1">
      <alignment horizontal="center"/>
    </xf>
    <xf numFmtId="10" fontId="0" fillId="0" borderId="7" xfId="0" applyNumberFormat="1" applyBorder="1" applyAlignment="1" applyProtection="1">
      <alignment horizontal="center"/>
      <protection locked="0"/>
    </xf>
    <xf numFmtId="164" fontId="0" fillId="0" borderId="9" xfId="0" applyNumberFormat="1" applyBorder="1" applyAlignment="1">
      <alignment horizontal="center"/>
    </xf>
    <xf numFmtId="164" fontId="0" fillId="0" borderId="8" xfId="0" applyNumberFormat="1" applyBorder="1" applyAlignment="1" applyProtection="1">
      <alignment horizontal="center"/>
      <protection locked="0"/>
    </xf>
    <xf numFmtId="164" fontId="0" fillId="6" borderId="1" xfId="0" applyNumberFormat="1" applyFill="1" applyBorder="1" applyProtection="1">
      <protection locked="0"/>
    </xf>
    <xf numFmtId="164" fontId="1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/>
    <xf numFmtId="0" fontId="1" fillId="5" borderId="6" xfId="1" applyFont="1" applyFill="1" applyBorder="1" applyAlignment="1" applyProtection="1">
      <alignment horizontal="left"/>
      <protection locked="0"/>
    </xf>
    <xf numFmtId="0" fontId="0" fillId="0" borderId="0" xfId="0" applyAlignment="1" applyProtection="1">
      <alignment horizontal="center"/>
      <protection locked="0"/>
    </xf>
    <xf numFmtId="10" fontId="0" fillId="0" borderId="0" xfId="0" applyNumberFormat="1" applyAlignment="1" applyProtection="1">
      <alignment horizontal="left" wrapText="1"/>
      <protection locked="0"/>
    </xf>
    <xf numFmtId="164" fontId="0" fillId="0" borderId="0" xfId="0" applyNumberFormat="1" applyAlignment="1" applyProtection="1">
      <alignment horizontal="right"/>
      <protection locked="0"/>
    </xf>
    <xf numFmtId="10" fontId="1" fillId="7" borderId="10" xfId="0" applyNumberFormat="1" applyFont="1" applyFill="1" applyBorder="1" applyAlignment="1" applyProtection="1">
      <alignment horizontal="left" wrapText="1"/>
      <protection locked="0"/>
    </xf>
    <xf numFmtId="2" fontId="1" fillId="7" borderId="11" xfId="0" applyNumberFormat="1" applyFont="1" applyFill="1" applyBorder="1" applyAlignment="1">
      <alignment horizontal="right" vertical="center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6" borderId="0" xfId="0" applyFont="1" applyFill="1" applyProtection="1">
      <protection locked="0"/>
    </xf>
    <xf numFmtId="0" fontId="0" fillId="0" borderId="0" xfId="0" applyProtection="1">
      <protection locked="0"/>
    </xf>
    <xf numFmtId="10" fontId="1" fillId="3" borderId="8" xfId="0" applyNumberFormat="1" applyFont="1" applyFill="1" applyBorder="1" applyAlignment="1" applyProtection="1">
      <alignment horizontal="center"/>
      <protection locked="0"/>
    </xf>
    <xf numFmtId="0" fontId="0" fillId="0" borderId="9" xfId="0" applyBorder="1" applyProtection="1"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0" fillId="0" borderId="12" xfId="0" applyBorder="1" applyAlignment="1" applyProtection="1">
      <alignment horizontal="left"/>
      <protection locked="0"/>
    </xf>
    <xf numFmtId="0" fontId="0" fillId="0" borderId="4" xfId="0" applyBorder="1" applyProtection="1"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</cellXfs>
  <cellStyles count="2">
    <cellStyle name="Normal" xfId="0" builtinId="0"/>
    <cellStyle name="Normal 2" xfId="1" xr:uid="{00000000-0005-0000-0000-000001000000}"/>
  </cellStyles>
  <dxfs count="19">
    <dxf>
      <font>
        <b/>
        <color rgb="FFFF0000"/>
      </font>
      <fill>
        <patternFill>
          <bgColor rgb="FFFFFF9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  <color rgb="FFFF0000"/>
      </font>
    </dxf>
    <dxf>
      <font>
        <b/>
      </font>
    </dxf>
    <dxf>
      <font>
        <b/>
        <color rgb="FFFF0000"/>
      </font>
    </dxf>
    <dxf>
      <font>
        <b/>
        <color rgb="FFFF0000"/>
      </font>
      <fill>
        <patternFill>
          <bgColor rgb="FFFFFF9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  <color rgb="FFFF0000"/>
      </font>
      <fill>
        <patternFill>
          <bgColor rgb="FFFFFF9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  <color rgb="FFFF0000"/>
      </font>
    </dxf>
    <dxf>
      <font>
        <b/>
        <color rgb="FFFF0000"/>
      </font>
    </dxf>
    <dxf>
      <font>
        <b/>
        <color rgb="FFFF0000"/>
      </font>
    </dxf>
    <dxf>
      <font>
        <b/>
        <color rgb="FFFF0000"/>
      </font>
    </dxf>
    <dxf>
      <font>
        <b/>
      </font>
    </dxf>
    <dxf>
      <font>
        <b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6"/>
  <sheetViews>
    <sheetView workbookViewId="0">
      <selection activeCell="I3" sqref="I3"/>
    </sheetView>
  </sheetViews>
  <sheetFormatPr defaultRowHeight="12.75" x14ac:dyDescent="0.2"/>
  <cols>
    <col min="1" max="1" width="11.28515625" bestFit="1" customWidth="1"/>
    <col min="4" max="4" width="14.42578125" bestFit="1" customWidth="1"/>
    <col min="5" max="5" width="10.140625" bestFit="1" customWidth="1"/>
  </cols>
  <sheetData>
    <row r="1" spans="1:9" x14ac:dyDescent="0.2">
      <c r="D1" t="s">
        <v>0</v>
      </c>
      <c r="G1" t="s">
        <v>1</v>
      </c>
    </row>
    <row r="2" spans="1:9" x14ac:dyDescent="0.2">
      <c r="A2" t="s">
        <v>2</v>
      </c>
      <c r="B2" t="s">
        <v>3</v>
      </c>
      <c r="D2" t="s">
        <v>4</v>
      </c>
      <c r="E2">
        <v>564543</v>
      </c>
      <c r="G2" t="s">
        <v>5</v>
      </c>
      <c r="H2" t="s">
        <v>6</v>
      </c>
      <c r="I2" t="s">
        <v>7</v>
      </c>
    </row>
    <row r="3" spans="1:9" x14ac:dyDescent="0.2">
      <c r="A3" t="s">
        <v>8</v>
      </c>
      <c r="B3" t="s">
        <v>9</v>
      </c>
      <c r="D3" t="s">
        <v>10</v>
      </c>
      <c r="E3" s="2">
        <v>45035</v>
      </c>
      <c r="G3" t="s">
        <v>11</v>
      </c>
      <c r="H3" t="s">
        <v>12</v>
      </c>
      <c r="I3">
        <v>0</v>
      </c>
    </row>
    <row r="5" spans="1:9" x14ac:dyDescent="0.2">
      <c r="A5" t="s">
        <v>13</v>
      </c>
      <c r="B5">
        <f>PARM_Account</f>
        <v>564543</v>
      </c>
    </row>
    <row r="6" spans="1:9" x14ac:dyDescent="0.2">
      <c r="A6" t="s">
        <v>14</v>
      </c>
      <c r="B6" s="1">
        <f>PARM_Date</f>
        <v>45035</v>
      </c>
    </row>
    <row r="7" spans="1:9" x14ac:dyDescent="0.2">
      <c r="A7" t="s">
        <v>15</v>
      </c>
      <c r="B7" t="s">
        <v>16</v>
      </c>
    </row>
    <row r="9" spans="1:9" x14ac:dyDescent="0.2">
      <c r="A9" t="s">
        <v>2</v>
      </c>
      <c r="B9" t="s">
        <v>17</v>
      </c>
    </row>
    <row r="10" spans="1:9" x14ac:dyDescent="0.2">
      <c r="A10" t="s">
        <v>8</v>
      </c>
      <c r="B10" t="s">
        <v>18</v>
      </c>
    </row>
    <row r="12" spans="1:9" x14ac:dyDescent="0.2">
      <c r="A12" t="s">
        <v>13</v>
      </c>
      <c r="B12">
        <f>PARM_Account</f>
        <v>564543</v>
      </c>
    </row>
    <row r="13" spans="1:9" x14ac:dyDescent="0.2">
      <c r="A13" t="s">
        <v>19</v>
      </c>
      <c r="B13" t="s">
        <v>20</v>
      </c>
    </row>
    <row r="14" spans="1:9" x14ac:dyDescent="0.2">
      <c r="A14" t="s">
        <v>14</v>
      </c>
      <c r="B14" s="1">
        <f>PARM_Date</f>
        <v>45035</v>
      </c>
    </row>
    <row r="15" spans="1:9" x14ac:dyDescent="0.2">
      <c r="A15" t="s">
        <v>21</v>
      </c>
      <c r="B15" t="s">
        <v>22</v>
      </c>
    </row>
    <row r="16" spans="1:9" x14ac:dyDescent="0.2">
      <c r="A16" t="s">
        <v>23</v>
      </c>
      <c r="B16" t="s">
        <v>24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V81"/>
  <sheetViews>
    <sheetView showGridLines="0" tabSelected="1" zoomScaleNormal="100" workbookViewId="0"/>
  </sheetViews>
  <sheetFormatPr defaultColWidth="9.140625" defaultRowHeight="12.75" x14ac:dyDescent="0.2"/>
  <cols>
    <col min="1" max="1" width="8" style="5" customWidth="1"/>
    <col min="2" max="4" width="15.85546875" style="14" customWidth="1"/>
    <col min="5" max="5" width="62.7109375" style="5" customWidth="1"/>
    <col min="6" max="6" width="15.42578125" style="8" customWidth="1"/>
    <col min="7" max="7" width="12.7109375" style="5" hidden="1" customWidth="1"/>
    <col min="8" max="8" width="5.5703125" style="5" hidden="1" customWidth="1"/>
    <col min="9" max="9" width="5.140625" style="5" hidden="1" customWidth="1"/>
    <col min="10" max="10" width="12" style="6" customWidth="1"/>
    <col min="11" max="11" width="12.85546875" style="6" customWidth="1"/>
    <col min="12" max="12" width="15.5703125" style="21" customWidth="1"/>
    <col min="13" max="13" width="12.7109375" style="7" bestFit="1" customWidth="1"/>
    <col min="14" max="14" width="11.28515625" style="21" customWidth="1"/>
    <col min="15" max="15" width="9.140625" style="5" customWidth="1"/>
    <col min="16" max="16" width="15.140625" style="5" customWidth="1"/>
    <col min="17" max="17" width="19.85546875" style="5" bestFit="1" customWidth="1"/>
    <col min="18" max="20" width="9.140625" style="5" customWidth="1"/>
    <col min="21" max="21" width="45.140625" style="5" bestFit="1" customWidth="1"/>
    <col min="22" max="22" width="9.140625" style="5" customWidth="1"/>
    <col min="23" max="16384" width="9.140625" style="5"/>
  </cols>
  <sheetData>
    <row r="1" spans="1:22" ht="26.25" customHeight="1" thickBot="1" x14ac:dyDescent="0.25">
      <c r="B1" s="64" t="s">
        <v>25</v>
      </c>
      <c r="C1" s="60"/>
      <c r="D1" s="60"/>
      <c r="E1" s="60"/>
      <c r="F1" s="60"/>
      <c r="G1" s="60"/>
      <c r="H1" s="60"/>
      <c r="I1" s="60"/>
      <c r="J1" s="60"/>
      <c r="K1" s="51" t="s">
        <v>26</v>
      </c>
      <c r="L1" s="52">
        <f>COUNT(N:N)</f>
        <v>0</v>
      </c>
      <c r="M1" s="50"/>
    </row>
    <row r="2" spans="1:22" x14ac:dyDescent="0.2">
      <c r="B2" s="64" t="s">
        <v>206</v>
      </c>
      <c r="C2" s="60"/>
      <c r="D2" s="60"/>
      <c r="E2" s="60"/>
      <c r="F2" s="60"/>
      <c r="G2" s="60"/>
      <c r="H2" s="60"/>
      <c r="I2" s="60"/>
      <c r="J2" s="60"/>
      <c r="K2" s="49"/>
    </row>
    <row r="3" spans="1:22" x14ac:dyDescent="0.2">
      <c r="B3" s="65" t="str">
        <f>IF(IOControl!E3&lt;1,"",""&amp;TEXT(IOControl!E3,"dd mmm yyyy"))</f>
        <v>19 Apr 2023</v>
      </c>
      <c r="C3" s="60"/>
      <c r="D3" s="60"/>
      <c r="E3" s="60"/>
      <c r="F3" s="60"/>
      <c r="G3" s="60"/>
      <c r="H3" s="60"/>
      <c r="I3" s="60"/>
      <c r="J3" s="60"/>
    </row>
    <row r="4" spans="1:22" x14ac:dyDescent="0.2">
      <c r="B4" s="54">
        <f>IF(PARM_Account&lt;1,"",PARM_Account)</f>
        <v>564543</v>
      </c>
      <c r="C4" s="54"/>
      <c r="D4" s="54"/>
    </row>
    <row r="5" spans="1:22" x14ac:dyDescent="0.2">
      <c r="U5" s="5" t="s">
        <v>27</v>
      </c>
      <c r="V5" s="14" t="s">
        <v>28</v>
      </c>
    </row>
    <row r="6" spans="1:22" s="9" customFormat="1" ht="25.5" customHeight="1" x14ac:dyDescent="0.2">
      <c r="B6" s="53" t="s">
        <v>29</v>
      </c>
      <c r="C6" s="53" t="s">
        <v>30</v>
      </c>
      <c r="D6" s="53" t="s">
        <v>31</v>
      </c>
      <c r="E6" s="9" t="s">
        <v>32</v>
      </c>
      <c r="F6" s="10" t="s">
        <v>33</v>
      </c>
      <c r="G6" s="9" t="s">
        <v>72</v>
      </c>
      <c r="H6" s="9" t="s">
        <v>73</v>
      </c>
      <c r="J6" s="11" t="s">
        <v>34</v>
      </c>
      <c r="K6" s="11" t="s">
        <v>35</v>
      </c>
      <c r="L6" s="22" t="s">
        <v>36</v>
      </c>
      <c r="N6" s="45" t="s">
        <v>37</v>
      </c>
      <c r="O6" s="22" t="s">
        <v>38</v>
      </c>
      <c r="P6" s="55" t="s">
        <v>74</v>
      </c>
      <c r="Q6" s="55" t="s">
        <v>75</v>
      </c>
      <c r="U6" s="15" t="s">
        <v>39</v>
      </c>
      <c r="V6" s="14" t="s">
        <v>40</v>
      </c>
    </row>
    <row r="7" spans="1:22" x14ac:dyDescent="0.2">
      <c r="A7" s="5" t="s">
        <v>76</v>
      </c>
      <c r="B7" s="14">
        <v>586094</v>
      </c>
      <c r="C7" s="14" t="s">
        <v>162</v>
      </c>
      <c r="D7" s="48" t="str">
        <f t="shared" ref="D7" si="0">IF(RIGHT(LEFT(C7,11),7)=B7,"OK","CHECK")</f>
        <v>CHECK</v>
      </c>
      <c r="E7" s="5" t="s">
        <v>77</v>
      </c>
      <c r="F7" s="8">
        <v>432035.02</v>
      </c>
      <c r="G7" s="5">
        <v>79141.788</v>
      </c>
      <c r="H7" s="5" t="s">
        <v>121</v>
      </c>
      <c r="J7" s="6">
        <f>F7/F$55</f>
        <v>1.9525207375309179E-2</v>
      </c>
      <c r="K7" s="3">
        <v>0.02</v>
      </c>
      <c r="L7" s="21">
        <f>ROUND((K7-J7)*F$55,-2)</f>
        <v>10500</v>
      </c>
      <c r="N7" s="44"/>
      <c r="O7" s="23">
        <f>IF(OR(N7="",F7=""),J7,(F7+N7)/$F$55)</f>
        <v>1.9525207375309179E-2</v>
      </c>
      <c r="P7" s="15" t="s">
        <v>41</v>
      </c>
      <c r="Q7" s="5" t="s">
        <v>207</v>
      </c>
    </row>
    <row r="8" spans="1:22" s="56" customFormat="1" x14ac:dyDescent="0.2">
      <c r="A8" s="56" t="s">
        <v>44</v>
      </c>
      <c r="B8" s="14">
        <v>602064</v>
      </c>
      <c r="C8" s="14" t="s">
        <v>163</v>
      </c>
      <c r="D8" s="48" t="str">
        <f t="shared" ref="D8:D50" si="1">IF(RIGHT(LEFT(C8,11),7)=B8,"OK","CHECK")</f>
        <v>CHECK</v>
      </c>
      <c r="E8" s="56" t="s">
        <v>78</v>
      </c>
      <c r="F8" s="8">
        <v>489023.1</v>
      </c>
      <c r="G8" s="56">
        <v>55875.582999999999</v>
      </c>
      <c r="H8" s="56" t="s">
        <v>121</v>
      </c>
      <c r="J8" s="6">
        <f t="shared" ref="J8:J50" si="2">F8/F$55</f>
        <v>2.2100702481980643E-2</v>
      </c>
      <c r="K8" s="3">
        <v>0.02</v>
      </c>
      <c r="L8" s="21">
        <f t="shared" ref="L8:L50" si="3">ROUND((K8-J8)*F$55,-2)</f>
        <v>-46500</v>
      </c>
      <c r="M8" s="7"/>
      <c r="N8" s="44"/>
      <c r="O8" s="23">
        <f t="shared" ref="O8:O50" si="4">IF(OR(N8="",F8=""),J8,(F8+N8)/$F$55)</f>
        <v>2.2100702481980643E-2</v>
      </c>
      <c r="P8" s="15" t="s">
        <v>208</v>
      </c>
      <c r="Q8" s="56" t="s">
        <v>207</v>
      </c>
    </row>
    <row r="9" spans="1:22" s="56" customFormat="1" x14ac:dyDescent="0.2">
      <c r="A9" s="56" t="s">
        <v>76</v>
      </c>
      <c r="B9" s="14">
        <v>753382</v>
      </c>
      <c r="C9" s="14" t="s">
        <v>164</v>
      </c>
      <c r="D9" s="48" t="str">
        <f t="shared" si="1"/>
        <v>CHECK</v>
      </c>
      <c r="E9" s="56" t="s">
        <v>79</v>
      </c>
      <c r="F9" s="8">
        <v>461018.12</v>
      </c>
      <c r="G9" s="56">
        <v>137658.44</v>
      </c>
      <c r="H9" s="56" t="s">
        <v>121</v>
      </c>
      <c r="J9" s="6">
        <f t="shared" si="2"/>
        <v>2.0835057298769836E-2</v>
      </c>
      <c r="K9" s="3">
        <v>0.02</v>
      </c>
      <c r="L9" s="21">
        <f t="shared" si="3"/>
        <v>-18500</v>
      </c>
      <c r="M9" s="7"/>
      <c r="N9" s="44"/>
      <c r="O9" s="23">
        <f t="shared" si="4"/>
        <v>2.0835057298769836E-2</v>
      </c>
      <c r="P9" s="15" t="s">
        <v>43</v>
      </c>
      <c r="Q9" s="56" t="s">
        <v>207</v>
      </c>
    </row>
    <row r="10" spans="1:22" s="56" customFormat="1" x14ac:dyDescent="0.2">
      <c r="A10" s="56" t="s">
        <v>76</v>
      </c>
      <c r="B10" s="14">
        <v>3387432</v>
      </c>
      <c r="C10" s="14" t="s">
        <v>165</v>
      </c>
      <c r="D10" s="48" t="str">
        <f t="shared" si="1"/>
        <v>CHECK</v>
      </c>
      <c r="E10" s="56" t="s">
        <v>80</v>
      </c>
      <c r="F10" s="8">
        <v>176338.19</v>
      </c>
      <c r="G10" s="56">
        <v>14045.368</v>
      </c>
      <c r="H10" s="56" t="s">
        <v>121</v>
      </c>
      <c r="J10" s="6">
        <f t="shared" si="2"/>
        <v>7.9693533360713931E-3</v>
      </c>
      <c r="K10" s="3">
        <v>0.01</v>
      </c>
      <c r="L10" s="21">
        <f t="shared" si="3"/>
        <v>44900</v>
      </c>
      <c r="M10" s="7"/>
      <c r="N10" s="44"/>
      <c r="O10" s="23">
        <f t="shared" si="4"/>
        <v>7.9693533360713931E-3</v>
      </c>
      <c r="P10" s="15" t="s">
        <v>41</v>
      </c>
      <c r="Q10" s="56" t="s">
        <v>207</v>
      </c>
    </row>
    <row r="11" spans="1:22" s="56" customFormat="1" x14ac:dyDescent="0.2">
      <c r="A11" s="56" t="s">
        <v>76</v>
      </c>
      <c r="B11" s="14" t="s">
        <v>122</v>
      </c>
      <c r="C11" s="14" t="s">
        <v>166</v>
      </c>
      <c r="D11" s="48" t="str">
        <f t="shared" si="1"/>
        <v>OK</v>
      </c>
      <c r="E11" s="56" t="s">
        <v>81</v>
      </c>
      <c r="F11" s="8">
        <v>612494.89</v>
      </c>
      <c r="G11" s="56">
        <v>176715.201</v>
      </c>
      <c r="H11" s="56" t="s">
        <v>121</v>
      </c>
      <c r="J11" s="6">
        <f t="shared" si="2"/>
        <v>2.7680834168413441E-2</v>
      </c>
      <c r="K11" s="3">
        <v>0.03</v>
      </c>
      <c r="L11" s="21">
        <f t="shared" si="3"/>
        <v>51300</v>
      </c>
      <c r="M11" s="7"/>
      <c r="N11" s="44"/>
      <c r="O11" s="23">
        <f t="shared" si="4"/>
        <v>2.7680834168413441E-2</v>
      </c>
      <c r="P11" s="15" t="s">
        <v>46</v>
      </c>
      <c r="Q11" s="56" t="s">
        <v>207</v>
      </c>
    </row>
    <row r="12" spans="1:22" s="56" customFormat="1" x14ac:dyDescent="0.2">
      <c r="A12" s="56" t="s">
        <v>76</v>
      </c>
      <c r="B12" s="14" t="s">
        <v>123</v>
      </c>
      <c r="C12" s="14" t="s">
        <v>167</v>
      </c>
      <c r="D12" s="48" t="str">
        <f t="shared" si="1"/>
        <v>OK</v>
      </c>
      <c r="E12" s="56" t="s">
        <v>82</v>
      </c>
      <c r="F12" s="8">
        <v>193710.92</v>
      </c>
      <c r="G12" s="56">
        <v>49672.012999999999</v>
      </c>
      <c r="H12" s="56" t="s">
        <v>121</v>
      </c>
      <c r="J12" s="6">
        <f t="shared" si="2"/>
        <v>8.7544891241962894E-3</v>
      </c>
      <c r="K12" s="3">
        <v>0.01</v>
      </c>
      <c r="L12" s="21">
        <f t="shared" si="3"/>
        <v>27600</v>
      </c>
      <c r="M12" s="7"/>
      <c r="N12" s="44"/>
      <c r="O12" s="23">
        <f t="shared" si="4"/>
        <v>8.7544891241962894E-3</v>
      </c>
      <c r="P12" s="15" t="s">
        <v>41</v>
      </c>
      <c r="Q12" s="56" t="s">
        <v>207</v>
      </c>
    </row>
    <row r="13" spans="1:22" s="56" customFormat="1" x14ac:dyDescent="0.2">
      <c r="A13" s="56" t="s">
        <v>76</v>
      </c>
      <c r="B13" s="14" t="s">
        <v>124</v>
      </c>
      <c r="C13" s="14" t="s">
        <v>168</v>
      </c>
      <c r="D13" s="48" t="str">
        <f t="shared" si="1"/>
        <v>OK</v>
      </c>
      <c r="E13" s="56" t="s">
        <v>83</v>
      </c>
      <c r="F13" s="8">
        <v>430773.22</v>
      </c>
      <c r="G13" s="56">
        <v>196198.40700000001</v>
      </c>
      <c r="H13" s="56" t="s">
        <v>121</v>
      </c>
      <c r="J13" s="6">
        <f t="shared" si="2"/>
        <v>1.9468182121508765E-2</v>
      </c>
      <c r="K13" s="3">
        <v>0.02</v>
      </c>
      <c r="L13" s="21">
        <f t="shared" si="3"/>
        <v>11800</v>
      </c>
      <c r="M13" s="7"/>
      <c r="N13" s="44"/>
      <c r="O13" s="23">
        <f t="shared" si="4"/>
        <v>1.9468182121508765E-2</v>
      </c>
      <c r="P13" s="15" t="s">
        <v>209</v>
      </c>
      <c r="Q13" s="56" t="s">
        <v>207</v>
      </c>
    </row>
    <row r="14" spans="1:22" s="56" customFormat="1" x14ac:dyDescent="0.2">
      <c r="A14" s="56" t="s">
        <v>44</v>
      </c>
      <c r="B14" s="14" t="s">
        <v>125</v>
      </c>
      <c r="C14" s="14" t="s">
        <v>169</v>
      </c>
      <c r="D14" s="48" t="str">
        <f t="shared" si="1"/>
        <v>OK</v>
      </c>
      <c r="E14" s="56" t="s">
        <v>84</v>
      </c>
      <c r="F14" s="8">
        <v>728393.31</v>
      </c>
      <c r="G14" s="56">
        <v>91134.601999999999</v>
      </c>
      <c r="H14" s="56" t="s">
        <v>121</v>
      </c>
      <c r="J14" s="6">
        <f t="shared" si="2"/>
        <v>3.2918698184554264E-2</v>
      </c>
      <c r="K14" s="3">
        <v>0.03</v>
      </c>
      <c r="L14" s="21">
        <f t="shared" si="3"/>
        <v>-64600</v>
      </c>
      <c r="M14" s="7"/>
      <c r="N14" s="44"/>
      <c r="O14" s="23">
        <f t="shared" si="4"/>
        <v>3.2918698184554264E-2</v>
      </c>
      <c r="P14" s="15" t="s">
        <v>46</v>
      </c>
      <c r="Q14" s="56" t="s">
        <v>207</v>
      </c>
    </row>
    <row r="15" spans="1:22" s="56" customFormat="1" x14ac:dyDescent="0.2">
      <c r="A15" s="56" t="s">
        <v>76</v>
      </c>
      <c r="B15" s="14" t="s">
        <v>126</v>
      </c>
      <c r="C15" s="14" t="s">
        <v>170</v>
      </c>
      <c r="D15" s="48" t="str">
        <f t="shared" si="1"/>
        <v>OK</v>
      </c>
      <c r="E15" s="56" t="s">
        <v>85</v>
      </c>
      <c r="F15" s="8">
        <v>239043.91</v>
      </c>
      <c r="G15" s="56">
        <v>45908.184000000001</v>
      </c>
      <c r="H15" s="56" t="s">
        <v>121</v>
      </c>
      <c r="J15" s="6">
        <f t="shared" si="2"/>
        <v>1.0803249038827322E-2</v>
      </c>
      <c r="K15" s="3">
        <v>0.01</v>
      </c>
      <c r="L15" s="21">
        <f t="shared" si="3"/>
        <v>-17800</v>
      </c>
      <c r="M15" s="7"/>
      <c r="N15" s="44"/>
      <c r="O15" s="23">
        <f t="shared" si="4"/>
        <v>1.0803249038827322E-2</v>
      </c>
      <c r="P15" s="15" t="s">
        <v>210</v>
      </c>
      <c r="Q15" s="56" t="s">
        <v>207</v>
      </c>
    </row>
    <row r="16" spans="1:22" s="56" customFormat="1" x14ac:dyDescent="0.2">
      <c r="A16" s="56" t="s">
        <v>76</v>
      </c>
      <c r="B16" s="14" t="s">
        <v>127</v>
      </c>
      <c r="C16" s="14" t="s">
        <v>171</v>
      </c>
      <c r="D16" s="48" t="str">
        <f t="shared" si="1"/>
        <v>CHECK</v>
      </c>
      <c r="E16" s="56" t="s">
        <v>86</v>
      </c>
      <c r="F16" s="8">
        <v>452002.7</v>
      </c>
      <c r="G16" s="56">
        <v>435875.3089</v>
      </c>
      <c r="H16" s="56" t="s">
        <v>121</v>
      </c>
      <c r="J16" s="6">
        <f t="shared" si="2"/>
        <v>2.042761823266008E-2</v>
      </c>
      <c r="K16" s="3">
        <v>0.02</v>
      </c>
      <c r="L16" s="21">
        <f t="shared" si="3"/>
        <v>-9500</v>
      </c>
      <c r="M16" s="7"/>
      <c r="N16" s="44"/>
      <c r="O16" s="23">
        <f t="shared" si="4"/>
        <v>2.042761823266008E-2</v>
      </c>
      <c r="P16" s="15" t="s">
        <v>43</v>
      </c>
      <c r="Q16" s="56" t="s">
        <v>207</v>
      </c>
    </row>
    <row r="17" spans="1:17" s="56" customFormat="1" x14ac:dyDescent="0.2">
      <c r="A17" s="56" t="s">
        <v>76</v>
      </c>
      <c r="B17" s="14" t="s">
        <v>128</v>
      </c>
      <c r="C17" s="14" t="s">
        <v>172</v>
      </c>
      <c r="D17" s="48" t="str">
        <f t="shared" si="1"/>
        <v>OK</v>
      </c>
      <c r="E17" s="56" t="s">
        <v>87</v>
      </c>
      <c r="F17" s="8">
        <v>377131.79</v>
      </c>
      <c r="G17" s="56">
        <v>2632.17</v>
      </c>
      <c r="H17" s="56" t="s">
        <v>121</v>
      </c>
      <c r="J17" s="6">
        <f t="shared" si="2"/>
        <v>1.7043934094906361E-2</v>
      </c>
      <c r="K17" s="3">
        <v>0.02</v>
      </c>
      <c r="L17" s="21">
        <f t="shared" si="3"/>
        <v>65400</v>
      </c>
      <c r="M17" s="7"/>
      <c r="N17" s="44"/>
      <c r="O17" s="23">
        <f t="shared" si="4"/>
        <v>1.7043934094906361E-2</v>
      </c>
      <c r="P17" s="15" t="s">
        <v>43</v>
      </c>
      <c r="Q17" s="56" t="s">
        <v>207</v>
      </c>
    </row>
    <row r="18" spans="1:17" s="56" customFormat="1" x14ac:dyDescent="0.2">
      <c r="A18" s="56" t="s">
        <v>44</v>
      </c>
      <c r="B18" s="14" t="s">
        <v>129</v>
      </c>
      <c r="C18" s="14" t="s">
        <v>173</v>
      </c>
      <c r="D18" s="48" t="str">
        <f t="shared" si="1"/>
        <v>OK</v>
      </c>
      <c r="E18" s="56" t="s">
        <v>88</v>
      </c>
      <c r="F18" s="8">
        <v>440404.96</v>
      </c>
      <c r="G18" s="56">
        <v>132812.10999999999</v>
      </c>
      <c r="H18" s="56" t="s">
        <v>121</v>
      </c>
      <c r="J18" s="6">
        <f t="shared" si="2"/>
        <v>1.9903474892185229E-2</v>
      </c>
      <c r="K18" s="3">
        <v>0.02</v>
      </c>
      <c r="L18" s="21">
        <f t="shared" si="3"/>
        <v>2100</v>
      </c>
      <c r="M18" s="7"/>
      <c r="N18" s="44"/>
      <c r="O18" s="23">
        <f t="shared" si="4"/>
        <v>1.9903474892185229E-2</v>
      </c>
      <c r="P18" s="15" t="s">
        <v>45</v>
      </c>
      <c r="Q18" s="56" t="s">
        <v>207</v>
      </c>
    </row>
    <row r="19" spans="1:17" s="56" customFormat="1" x14ac:dyDescent="0.2">
      <c r="A19" s="56" t="s">
        <v>44</v>
      </c>
      <c r="B19" s="14" t="s">
        <v>130</v>
      </c>
      <c r="C19" s="14" t="s">
        <v>174</v>
      </c>
      <c r="D19" s="48" t="str">
        <f t="shared" si="1"/>
        <v>CHECK</v>
      </c>
      <c r="E19" s="56" t="s">
        <v>89</v>
      </c>
      <c r="F19" s="8">
        <v>234413.87</v>
      </c>
      <c r="G19" s="56">
        <v>95387.130999999994</v>
      </c>
      <c r="H19" s="56" t="s">
        <v>121</v>
      </c>
      <c r="J19" s="6">
        <f t="shared" si="2"/>
        <v>1.0594000975658794E-2</v>
      </c>
      <c r="K19" s="3">
        <v>0.01</v>
      </c>
      <c r="L19" s="21">
        <f t="shared" si="3"/>
        <v>-13100</v>
      </c>
      <c r="M19" s="7"/>
      <c r="N19" s="44"/>
      <c r="O19" s="23">
        <f t="shared" si="4"/>
        <v>1.0594000975658794E-2</v>
      </c>
      <c r="P19" s="15" t="s">
        <v>42</v>
      </c>
      <c r="Q19" s="56" t="s">
        <v>207</v>
      </c>
    </row>
    <row r="20" spans="1:17" s="56" customFormat="1" x14ac:dyDescent="0.2">
      <c r="A20" s="56" t="s">
        <v>76</v>
      </c>
      <c r="B20" s="14" t="s">
        <v>131</v>
      </c>
      <c r="C20" s="14" t="s">
        <v>175</v>
      </c>
      <c r="D20" s="48" t="str">
        <f t="shared" si="1"/>
        <v>OK</v>
      </c>
      <c r="E20" s="56" t="s">
        <v>90</v>
      </c>
      <c r="F20" s="8">
        <v>490000.76</v>
      </c>
      <c r="G20" s="56">
        <v>120627.44899999999</v>
      </c>
      <c r="H20" s="56" t="s">
        <v>121</v>
      </c>
      <c r="J20" s="6">
        <f t="shared" si="2"/>
        <v>2.2144886433185677E-2</v>
      </c>
      <c r="K20" s="3">
        <v>0.02</v>
      </c>
      <c r="L20" s="21">
        <f t="shared" si="3"/>
        <v>-47500</v>
      </c>
      <c r="M20" s="7"/>
      <c r="N20" s="44"/>
      <c r="O20" s="23">
        <f t="shared" si="4"/>
        <v>2.2144886433185677E-2</v>
      </c>
      <c r="P20" s="15" t="s">
        <v>41</v>
      </c>
      <c r="Q20" s="56" t="s">
        <v>207</v>
      </c>
    </row>
    <row r="21" spans="1:17" s="56" customFormat="1" x14ac:dyDescent="0.2">
      <c r="A21" s="56" t="s">
        <v>44</v>
      </c>
      <c r="B21" s="14" t="s">
        <v>132</v>
      </c>
      <c r="C21" s="14" t="s">
        <v>176</v>
      </c>
      <c r="D21" s="48" t="str">
        <f t="shared" si="1"/>
        <v>OK</v>
      </c>
      <c r="E21" s="56" t="s">
        <v>91</v>
      </c>
      <c r="F21" s="8">
        <v>276156.65000000002</v>
      </c>
      <c r="G21" s="56">
        <v>105705.893</v>
      </c>
      <c r="H21" s="56" t="s">
        <v>121</v>
      </c>
      <c r="J21" s="6">
        <f t="shared" si="2"/>
        <v>1.2480506462926722E-2</v>
      </c>
      <c r="K21" s="3">
        <v>0.01</v>
      </c>
      <c r="L21" s="21">
        <f t="shared" si="3"/>
        <v>-54900</v>
      </c>
      <c r="M21" s="7"/>
      <c r="N21" s="44"/>
      <c r="O21" s="23">
        <f t="shared" si="4"/>
        <v>1.2480506462926722E-2</v>
      </c>
      <c r="P21" s="15" t="s">
        <v>211</v>
      </c>
      <c r="Q21" s="56" t="s">
        <v>207</v>
      </c>
    </row>
    <row r="22" spans="1:17" s="56" customFormat="1" x14ac:dyDescent="0.2">
      <c r="A22" s="56" t="s">
        <v>76</v>
      </c>
      <c r="B22" s="14" t="s">
        <v>133</v>
      </c>
      <c r="C22" s="14" t="s">
        <v>177</v>
      </c>
      <c r="D22" s="48" t="str">
        <f t="shared" si="1"/>
        <v>OK</v>
      </c>
      <c r="E22" s="56" t="s">
        <v>92</v>
      </c>
      <c r="F22" s="8">
        <v>659623.84</v>
      </c>
      <c r="G22" s="56">
        <v>42916.32</v>
      </c>
      <c r="H22" s="56" t="s">
        <v>121</v>
      </c>
      <c r="J22" s="6">
        <f t="shared" si="2"/>
        <v>2.9810759937233238E-2</v>
      </c>
      <c r="K22" s="3">
        <v>0.03</v>
      </c>
      <c r="L22" s="21">
        <f t="shared" si="3"/>
        <v>4200</v>
      </c>
      <c r="M22" s="7"/>
      <c r="N22" s="44"/>
      <c r="O22" s="23">
        <f t="shared" si="4"/>
        <v>2.9810759937233238E-2</v>
      </c>
      <c r="P22" s="15" t="s">
        <v>50</v>
      </c>
      <c r="Q22" s="56" t="s">
        <v>207</v>
      </c>
    </row>
    <row r="23" spans="1:17" s="56" customFormat="1" x14ac:dyDescent="0.2">
      <c r="A23" s="56" t="s">
        <v>76</v>
      </c>
      <c r="B23" s="14" t="s">
        <v>134</v>
      </c>
      <c r="C23" s="14" t="s">
        <v>178</v>
      </c>
      <c r="D23" s="48" t="str">
        <f t="shared" si="1"/>
        <v>OK</v>
      </c>
      <c r="E23" s="56" t="s">
        <v>93</v>
      </c>
      <c r="F23" s="8">
        <v>465609.84</v>
      </c>
      <c r="G23" s="56">
        <v>224012.43</v>
      </c>
      <c r="H23" s="56" t="s">
        <v>121</v>
      </c>
      <c r="J23" s="6">
        <f t="shared" si="2"/>
        <v>2.1042573544118082E-2</v>
      </c>
      <c r="K23" s="3">
        <v>0.02</v>
      </c>
      <c r="L23" s="21">
        <f t="shared" si="3"/>
        <v>-23100</v>
      </c>
      <c r="M23" s="7"/>
      <c r="N23" s="44"/>
      <c r="O23" s="23">
        <f t="shared" si="4"/>
        <v>2.1042573544118082E-2</v>
      </c>
      <c r="P23" s="15" t="s">
        <v>43</v>
      </c>
      <c r="Q23" s="56" t="s">
        <v>207</v>
      </c>
    </row>
    <row r="24" spans="1:17" s="56" customFormat="1" x14ac:dyDescent="0.2">
      <c r="A24" s="56" t="s">
        <v>76</v>
      </c>
      <c r="B24" s="14" t="s">
        <v>135</v>
      </c>
      <c r="C24" s="14" t="s">
        <v>179</v>
      </c>
      <c r="D24" s="48" t="str">
        <f t="shared" si="1"/>
        <v>OK</v>
      </c>
      <c r="E24" s="56" t="s">
        <v>94</v>
      </c>
      <c r="F24" s="8">
        <v>626584.74</v>
      </c>
      <c r="G24" s="56">
        <v>179516.6</v>
      </c>
      <c r="H24" s="56" t="s">
        <v>121</v>
      </c>
      <c r="J24" s="6">
        <f t="shared" si="2"/>
        <v>2.8317604870790759E-2</v>
      </c>
      <c r="K24" s="3">
        <v>0.03</v>
      </c>
      <c r="L24" s="21">
        <f t="shared" si="3"/>
        <v>37200</v>
      </c>
      <c r="M24" s="7"/>
      <c r="N24" s="44"/>
      <c r="O24" s="23">
        <f t="shared" si="4"/>
        <v>2.8317604870790759E-2</v>
      </c>
      <c r="P24" s="15" t="s">
        <v>42</v>
      </c>
      <c r="Q24" s="56" t="s">
        <v>207</v>
      </c>
    </row>
    <row r="25" spans="1:17" s="56" customFormat="1" x14ac:dyDescent="0.2">
      <c r="A25" s="56" t="s">
        <v>44</v>
      </c>
      <c r="B25" s="14" t="s">
        <v>136</v>
      </c>
      <c r="C25" s="14" t="s">
        <v>180</v>
      </c>
      <c r="D25" s="48" t="str">
        <f t="shared" si="1"/>
        <v>OK</v>
      </c>
      <c r="E25" s="56" t="s">
        <v>95</v>
      </c>
      <c r="F25" s="8">
        <v>449500.62</v>
      </c>
      <c r="G25" s="56">
        <v>145234.45000000001</v>
      </c>
      <c r="H25" s="56" t="s">
        <v>121</v>
      </c>
      <c r="J25" s="6">
        <f t="shared" si="2"/>
        <v>2.0314540290808019E-2</v>
      </c>
      <c r="K25" s="3">
        <v>0.02</v>
      </c>
      <c r="L25" s="21">
        <f t="shared" si="3"/>
        <v>-7000</v>
      </c>
      <c r="M25" s="7"/>
      <c r="N25" s="44"/>
      <c r="O25" s="23">
        <f t="shared" si="4"/>
        <v>2.0314540290808019E-2</v>
      </c>
      <c r="P25" s="15" t="s">
        <v>42</v>
      </c>
      <c r="Q25" s="56" t="s">
        <v>207</v>
      </c>
    </row>
    <row r="26" spans="1:17" s="56" customFormat="1" x14ac:dyDescent="0.2">
      <c r="A26" s="56" t="s">
        <v>76</v>
      </c>
      <c r="B26" s="14" t="s">
        <v>137</v>
      </c>
      <c r="C26" s="14" t="s">
        <v>181</v>
      </c>
      <c r="D26" s="48" t="str">
        <f t="shared" si="1"/>
        <v>OK</v>
      </c>
      <c r="E26" s="56" t="s">
        <v>96</v>
      </c>
      <c r="F26" s="8">
        <v>891558.28</v>
      </c>
      <c r="G26" s="56">
        <v>130457.307</v>
      </c>
      <c r="H26" s="56" t="s">
        <v>121</v>
      </c>
      <c r="J26" s="6">
        <f t="shared" si="2"/>
        <v>4.0292706605529256E-2</v>
      </c>
      <c r="K26" s="3">
        <v>0.04</v>
      </c>
      <c r="L26" s="21">
        <f t="shared" si="3"/>
        <v>-6500</v>
      </c>
      <c r="M26" s="7"/>
      <c r="N26" s="44"/>
      <c r="O26" s="23">
        <f t="shared" si="4"/>
        <v>4.0292706605529256E-2</v>
      </c>
      <c r="P26" s="15" t="s">
        <v>46</v>
      </c>
      <c r="Q26" s="56" t="s">
        <v>207</v>
      </c>
    </row>
    <row r="27" spans="1:17" s="56" customFormat="1" x14ac:dyDescent="0.2">
      <c r="A27" s="56" t="s">
        <v>76</v>
      </c>
      <c r="B27" s="14" t="s">
        <v>138</v>
      </c>
      <c r="C27" s="14" t="s">
        <v>182</v>
      </c>
      <c r="D27" s="48" t="str">
        <f t="shared" si="1"/>
        <v>OK</v>
      </c>
      <c r="E27" s="56" t="s">
        <v>97</v>
      </c>
      <c r="F27" s="8">
        <v>404315.33</v>
      </c>
      <c r="G27" s="56">
        <v>32001.15</v>
      </c>
      <c r="H27" s="56" t="s">
        <v>121</v>
      </c>
      <c r="J27" s="6">
        <f t="shared" si="2"/>
        <v>1.8272455467305784E-2</v>
      </c>
      <c r="K27" s="3">
        <v>0.02</v>
      </c>
      <c r="L27" s="21">
        <f t="shared" si="3"/>
        <v>38200</v>
      </c>
      <c r="M27" s="7"/>
      <c r="N27" s="44"/>
      <c r="O27" s="23">
        <f t="shared" si="4"/>
        <v>1.8272455467305784E-2</v>
      </c>
      <c r="P27" s="15" t="s">
        <v>45</v>
      </c>
      <c r="Q27" s="56" t="s">
        <v>207</v>
      </c>
    </row>
    <row r="28" spans="1:17" s="56" customFormat="1" x14ac:dyDescent="0.2">
      <c r="A28" s="56" t="s">
        <v>44</v>
      </c>
      <c r="B28" s="14" t="s">
        <v>139</v>
      </c>
      <c r="C28" s="14" t="s">
        <v>183</v>
      </c>
      <c r="D28" s="48" t="str">
        <f t="shared" si="1"/>
        <v>OK</v>
      </c>
      <c r="E28" s="56" t="s">
        <v>98</v>
      </c>
      <c r="F28" s="8">
        <v>466434.09</v>
      </c>
      <c r="G28" s="56">
        <v>43188.341999999997</v>
      </c>
      <c r="H28" s="56" t="s">
        <v>121</v>
      </c>
      <c r="J28" s="6">
        <f t="shared" si="2"/>
        <v>2.1079824348877146E-2</v>
      </c>
      <c r="K28" s="3">
        <v>0.02</v>
      </c>
      <c r="L28" s="21">
        <f t="shared" si="3"/>
        <v>-23900</v>
      </c>
      <c r="M28" s="7"/>
      <c r="N28" s="44"/>
      <c r="O28" s="23">
        <f t="shared" si="4"/>
        <v>2.1079824348877146E-2</v>
      </c>
      <c r="P28" s="15" t="s">
        <v>51</v>
      </c>
      <c r="Q28" s="56" t="s">
        <v>207</v>
      </c>
    </row>
    <row r="29" spans="1:17" s="56" customFormat="1" x14ac:dyDescent="0.2">
      <c r="A29" s="56" t="s">
        <v>76</v>
      </c>
      <c r="B29" s="14" t="s">
        <v>140</v>
      </c>
      <c r="C29" s="14" t="s">
        <v>184</v>
      </c>
      <c r="D29" s="48" t="str">
        <f t="shared" si="1"/>
        <v>OK</v>
      </c>
      <c r="E29" s="56" t="s">
        <v>99</v>
      </c>
      <c r="F29" s="8">
        <v>280929.96999999997</v>
      </c>
      <c r="G29" s="56">
        <v>37844.860999999997</v>
      </c>
      <c r="H29" s="56" t="s">
        <v>121</v>
      </c>
      <c r="J29" s="6">
        <f t="shared" si="2"/>
        <v>1.2696229861619517E-2</v>
      </c>
      <c r="K29" s="3">
        <v>0.01</v>
      </c>
      <c r="L29" s="21">
        <f t="shared" si="3"/>
        <v>-59700</v>
      </c>
      <c r="M29" s="7"/>
      <c r="N29" s="44"/>
      <c r="O29" s="23">
        <f t="shared" si="4"/>
        <v>1.2696229861619517E-2</v>
      </c>
      <c r="P29" s="15" t="s">
        <v>45</v>
      </c>
      <c r="Q29" s="56" t="s">
        <v>207</v>
      </c>
    </row>
    <row r="30" spans="1:17" s="56" customFormat="1" x14ac:dyDescent="0.2">
      <c r="A30" s="56" t="s">
        <v>44</v>
      </c>
      <c r="B30" s="14" t="s">
        <v>141</v>
      </c>
      <c r="C30" s="14" t="s">
        <v>185</v>
      </c>
      <c r="D30" s="48" t="str">
        <f t="shared" si="1"/>
        <v>OK</v>
      </c>
      <c r="E30" s="56" t="s">
        <v>100</v>
      </c>
      <c r="F30" s="8">
        <v>199952.79</v>
      </c>
      <c r="G30" s="56">
        <v>73593.224000000002</v>
      </c>
      <c r="H30" s="56" t="s">
        <v>121</v>
      </c>
      <c r="J30" s="6">
        <f t="shared" si="2"/>
        <v>9.0365815484625463E-3</v>
      </c>
      <c r="K30" s="3">
        <v>0.01</v>
      </c>
      <c r="L30" s="21">
        <f t="shared" si="3"/>
        <v>21300</v>
      </c>
      <c r="M30" s="7"/>
      <c r="N30" s="44"/>
      <c r="O30" s="23">
        <f t="shared" si="4"/>
        <v>9.0365815484625463E-3</v>
      </c>
      <c r="P30" s="15" t="s">
        <v>211</v>
      </c>
      <c r="Q30" s="56" t="s">
        <v>207</v>
      </c>
    </row>
    <row r="31" spans="1:17" s="56" customFormat="1" x14ac:dyDescent="0.2">
      <c r="A31" s="56" t="s">
        <v>76</v>
      </c>
      <c r="B31" s="14" t="s">
        <v>142</v>
      </c>
      <c r="C31" s="14" t="s">
        <v>186</v>
      </c>
      <c r="D31" s="48" t="str">
        <f t="shared" si="1"/>
        <v>OK</v>
      </c>
      <c r="E31" s="56" t="s">
        <v>101</v>
      </c>
      <c r="F31" s="8">
        <v>678537.68</v>
      </c>
      <c r="G31" s="56">
        <v>53554.671000000002</v>
      </c>
      <c r="H31" s="56" t="s">
        <v>121</v>
      </c>
      <c r="J31" s="6">
        <f t="shared" si="2"/>
        <v>3.0665543996783361E-2</v>
      </c>
      <c r="K31" s="3">
        <v>0.03</v>
      </c>
      <c r="L31" s="21">
        <f t="shared" si="3"/>
        <v>-14700</v>
      </c>
      <c r="M31" s="7"/>
      <c r="N31" s="44"/>
      <c r="O31" s="23">
        <f t="shared" si="4"/>
        <v>3.0665543996783361E-2</v>
      </c>
      <c r="P31" s="15" t="s">
        <v>46</v>
      </c>
      <c r="Q31" s="56" t="s">
        <v>207</v>
      </c>
    </row>
    <row r="32" spans="1:17" s="56" customFormat="1" x14ac:dyDescent="0.2">
      <c r="A32" s="56" t="s">
        <v>44</v>
      </c>
      <c r="B32" s="14" t="s">
        <v>143</v>
      </c>
      <c r="C32" s="14" t="s">
        <v>187</v>
      </c>
      <c r="D32" s="48" t="str">
        <f t="shared" si="1"/>
        <v>OK</v>
      </c>
      <c r="E32" s="56" t="s">
        <v>102</v>
      </c>
      <c r="F32" s="8">
        <v>463092.82</v>
      </c>
      <c r="G32" s="56">
        <v>579590.51500000001</v>
      </c>
      <c r="H32" s="56" t="s">
        <v>121</v>
      </c>
      <c r="J32" s="6">
        <f t="shared" si="2"/>
        <v>2.0928820410245276E-2</v>
      </c>
      <c r="K32" s="3">
        <v>0.02</v>
      </c>
      <c r="L32" s="21">
        <f t="shared" si="3"/>
        <v>-20600</v>
      </c>
      <c r="M32" s="7"/>
      <c r="N32" s="44"/>
      <c r="O32" s="23">
        <f t="shared" si="4"/>
        <v>2.0928820410245276E-2</v>
      </c>
      <c r="P32" s="15" t="s">
        <v>42</v>
      </c>
      <c r="Q32" s="56" t="s">
        <v>207</v>
      </c>
    </row>
    <row r="33" spans="1:17" s="56" customFormat="1" x14ac:dyDescent="0.2">
      <c r="A33" s="56" t="s">
        <v>76</v>
      </c>
      <c r="B33" s="14" t="s">
        <v>144</v>
      </c>
      <c r="C33" s="14" t="s">
        <v>188</v>
      </c>
      <c r="D33" s="48" t="str">
        <f t="shared" si="1"/>
        <v>OK</v>
      </c>
      <c r="E33" s="56" t="s">
        <v>103</v>
      </c>
      <c r="F33" s="8">
        <v>716846.72</v>
      </c>
      <c r="G33" s="56">
        <v>7006.95</v>
      </c>
      <c r="H33" s="56" t="s">
        <v>121</v>
      </c>
      <c r="J33" s="6">
        <f t="shared" si="2"/>
        <v>3.239686649547574E-2</v>
      </c>
      <c r="K33" s="3">
        <v>0.03</v>
      </c>
      <c r="L33" s="21">
        <f t="shared" si="3"/>
        <v>-53000</v>
      </c>
      <c r="M33" s="7"/>
      <c r="N33" s="44"/>
      <c r="O33" s="23">
        <f t="shared" si="4"/>
        <v>3.239686649547574E-2</v>
      </c>
      <c r="P33" s="15" t="s">
        <v>49</v>
      </c>
      <c r="Q33" s="56" t="s">
        <v>207</v>
      </c>
    </row>
    <row r="34" spans="1:17" s="56" customFormat="1" x14ac:dyDescent="0.2">
      <c r="A34" s="56" t="s">
        <v>76</v>
      </c>
      <c r="B34" s="14" t="s">
        <v>145</v>
      </c>
      <c r="C34" s="14" t="s">
        <v>189</v>
      </c>
      <c r="D34" s="48" t="str">
        <f t="shared" si="1"/>
        <v>OK</v>
      </c>
      <c r="E34" s="56" t="s">
        <v>104</v>
      </c>
      <c r="F34" s="8">
        <v>451242.32</v>
      </c>
      <c r="G34" s="56">
        <v>313362.72399999999</v>
      </c>
      <c r="H34" s="56" t="s">
        <v>121</v>
      </c>
      <c r="J34" s="6">
        <f t="shared" si="2"/>
        <v>2.0393253941580071E-2</v>
      </c>
      <c r="K34" s="3">
        <v>0.02</v>
      </c>
      <c r="L34" s="21">
        <f t="shared" si="3"/>
        <v>-8700</v>
      </c>
      <c r="M34" s="7"/>
      <c r="N34" s="44"/>
      <c r="O34" s="23">
        <f t="shared" si="4"/>
        <v>2.0393253941580071E-2</v>
      </c>
      <c r="P34" s="15" t="s">
        <v>42</v>
      </c>
      <c r="Q34" s="56" t="s">
        <v>207</v>
      </c>
    </row>
    <row r="35" spans="1:17" s="56" customFormat="1" x14ac:dyDescent="0.2">
      <c r="A35" s="56" t="s">
        <v>76</v>
      </c>
      <c r="B35" s="14" t="s">
        <v>146</v>
      </c>
      <c r="C35" s="14" t="s">
        <v>190</v>
      </c>
      <c r="D35" s="48" t="str">
        <f t="shared" si="1"/>
        <v>OK</v>
      </c>
      <c r="E35" s="56" t="s">
        <v>105</v>
      </c>
      <c r="F35" s="8">
        <v>240313.45</v>
      </c>
      <c r="G35" s="56">
        <v>174140.18299999999</v>
      </c>
      <c r="H35" s="56" t="s">
        <v>121</v>
      </c>
      <c r="J35" s="6">
        <f t="shared" si="2"/>
        <v>1.0860624090903541E-2</v>
      </c>
      <c r="K35" s="3">
        <v>0.01</v>
      </c>
      <c r="L35" s="21">
        <f t="shared" si="3"/>
        <v>-19000</v>
      </c>
      <c r="M35" s="7"/>
      <c r="N35" s="44"/>
      <c r="O35" s="23">
        <f t="shared" si="4"/>
        <v>1.0860624090903541E-2</v>
      </c>
      <c r="P35" s="15" t="s">
        <v>211</v>
      </c>
      <c r="Q35" s="56" t="s">
        <v>207</v>
      </c>
    </row>
    <row r="36" spans="1:17" s="56" customFormat="1" x14ac:dyDescent="0.2">
      <c r="A36" s="56" t="s">
        <v>76</v>
      </c>
      <c r="B36" s="14" t="s">
        <v>147</v>
      </c>
      <c r="C36" s="14" t="s">
        <v>191</v>
      </c>
      <c r="D36" s="48" t="str">
        <f t="shared" si="1"/>
        <v>OK</v>
      </c>
      <c r="E36" s="56" t="s">
        <v>106</v>
      </c>
      <c r="F36" s="8">
        <v>664322.47</v>
      </c>
      <c r="G36" s="56">
        <v>470083.82900000003</v>
      </c>
      <c r="H36" s="56" t="s">
        <v>121</v>
      </c>
      <c r="J36" s="6">
        <f t="shared" si="2"/>
        <v>3.0023107827758057E-2</v>
      </c>
      <c r="K36" s="3">
        <v>0.03</v>
      </c>
      <c r="L36" s="21">
        <f t="shared" si="3"/>
        <v>-500</v>
      </c>
      <c r="M36" s="7"/>
      <c r="N36" s="44"/>
      <c r="O36" s="23">
        <f t="shared" si="4"/>
        <v>3.0023107827758057E-2</v>
      </c>
      <c r="P36" s="15" t="s">
        <v>49</v>
      </c>
      <c r="Q36" s="56" t="s">
        <v>207</v>
      </c>
    </row>
    <row r="37" spans="1:17" s="56" customFormat="1" x14ac:dyDescent="0.2">
      <c r="A37" s="56" t="s">
        <v>76</v>
      </c>
      <c r="B37" s="14" t="s">
        <v>148</v>
      </c>
      <c r="C37" s="14" t="s">
        <v>192</v>
      </c>
      <c r="D37" s="48" t="str">
        <f t="shared" si="1"/>
        <v>OK</v>
      </c>
      <c r="E37" s="56" t="s">
        <v>107</v>
      </c>
      <c r="F37" s="8">
        <v>446392.56</v>
      </c>
      <c r="G37" s="56">
        <v>422480.18300000002</v>
      </c>
      <c r="H37" s="56" t="s">
        <v>121</v>
      </c>
      <c r="J37" s="6">
        <f t="shared" si="2"/>
        <v>2.0174075945961843E-2</v>
      </c>
      <c r="K37" s="3">
        <v>0.02</v>
      </c>
      <c r="L37" s="21">
        <f t="shared" si="3"/>
        <v>-3900</v>
      </c>
      <c r="M37" s="7"/>
      <c r="N37" s="44"/>
      <c r="O37" s="23">
        <f t="shared" si="4"/>
        <v>2.0174075945961843E-2</v>
      </c>
      <c r="P37" s="15" t="s">
        <v>212</v>
      </c>
      <c r="Q37" s="56" t="s">
        <v>207</v>
      </c>
    </row>
    <row r="38" spans="1:17" s="56" customFormat="1" x14ac:dyDescent="0.2">
      <c r="A38" s="56" t="s">
        <v>76</v>
      </c>
      <c r="B38" s="14" t="s">
        <v>149</v>
      </c>
      <c r="C38" s="14" t="s">
        <v>193</v>
      </c>
      <c r="D38" s="48" t="str">
        <f t="shared" si="1"/>
        <v>OK</v>
      </c>
      <c r="E38" s="56" t="s">
        <v>108</v>
      </c>
      <c r="F38" s="8">
        <v>636665.93999999994</v>
      </c>
      <c r="G38" s="56">
        <v>823629.93500000006</v>
      </c>
      <c r="H38" s="56" t="s">
        <v>121</v>
      </c>
      <c r="J38" s="6">
        <f t="shared" si="2"/>
        <v>2.8773210345994983E-2</v>
      </c>
      <c r="K38" s="3">
        <v>0.03</v>
      </c>
      <c r="L38" s="21">
        <f t="shared" si="3"/>
        <v>27100</v>
      </c>
      <c r="M38" s="7"/>
      <c r="N38" s="44"/>
      <c r="O38" s="23">
        <f t="shared" si="4"/>
        <v>2.8773210345994983E-2</v>
      </c>
      <c r="P38" s="15" t="s">
        <v>41</v>
      </c>
      <c r="Q38" s="56" t="s">
        <v>207</v>
      </c>
    </row>
    <row r="39" spans="1:17" s="56" customFormat="1" x14ac:dyDescent="0.2">
      <c r="A39" s="56" t="s">
        <v>76</v>
      </c>
      <c r="B39" s="14" t="s">
        <v>150</v>
      </c>
      <c r="C39" s="14" t="s">
        <v>194</v>
      </c>
      <c r="D39" s="48" t="str">
        <f t="shared" si="1"/>
        <v>OK</v>
      </c>
      <c r="E39" s="56" t="s">
        <v>109</v>
      </c>
      <c r="F39" s="8">
        <v>680607.02</v>
      </c>
      <c r="G39" s="56">
        <v>305753.37900000002</v>
      </c>
      <c r="H39" s="56" t="s">
        <v>121</v>
      </c>
      <c r="J39" s="6">
        <f t="shared" si="2"/>
        <v>3.0759064870693124E-2</v>
      </c>
      <c r="K39" s="3">
        <v>0.03</v>
      </c>
      <c r="L39" s="21">
        <f t="shared" si="3"/>
        <v>-16800</v>
      </c>
      <c r="M39" s="7"/>
      <c r="N39" s="44"/>
      <c r="O39" s="23">
        <f t="shared" si="4"/>
        <v>3.0759064870693124E-2</v>
      </c>
      <c r="P39" s="15" t="s">
        <v>50</v>
      </c>
      <c r="Q39" s="56" t="s">
        <v>207</v>
      </c>
    </row>
    <row r="40" spans="1:17" s="56" customFormat="1" x14ac:dyDescent="0.2">
      <c r="A40" s="56" t="s">
        <v>44</v>
      </c>
      <c r="B40" s="14" t="s">
        <v>151</v>
      </c>
      <c r="C40" s="14" t="s">
        <v>195</v>
      </c>
      <c r="D40" s="48" t="str">
        <f t="shared" si="1"/>
        <v>OK</v>
      </c>
      <c r="E40" s="56" t="s">
        <v>110</v>
      </c>
      <c r="F40" s="8">
        <v>865573.74</v>
      </c>
      <c r="G40" s="56">
        <v>297243.728</v>
      </c>
      <c r="H40" s="56" t="s">
        <v>121</v>
      </c>
      <c r="J40" s="6">
        <f t="shared" si="2"/>
        <v>3.9118372330377169E-2</v>
      </c>
      <c r="K40" s="3">
        <v>0.04</v>
      </c>
      <c r="L40" s="21">
        <f t="shared" si="3"/>
        <v>19500</v>
      </c>
      <c r="M40" s="7"/>
      <c r="N40" s="44"/>
      <c r="O40" s="23">
        <f t="shared" si="4"/>
        <v>3.9118372330377169E-2</v>
      </c>
      <c r="P40" s="15" t="s">
        <v>46</v>
      </c>
      <c r="Q40" s="56" t="s">
        <v>207</v>
      </c>
    </row>
    <row r="41" spans="1:17" s="56" customFormat="1" x14ac:dyDescent="0.2">
      <c r="A41" s="56" t="s">
        <v>76</v>
      </c>
      <c r="B41" s="14" t="s">
        <v>152</v>
      </c>
      <c r="C41" s="14" t="s">
        <v>196</v>
      </c>
      <c r="D41" s="48" t="str">
        <f t="shared" si="1"/>
        <v>OK</v>
      </c>
      <c r="E41" s="56" t="s">
        <v>111</v>
      </c>
      <c r="F41" s="8">
        <v>875720.9</v>
      </c>
      <c r="G41" s="56">
        <v>98450.915999999997</v>
      </c>
      <c r="H41" s="56" t="s">
        <v>121</v>
      </c>
      <c r="J41" s="6">
        <f t="shared" si="2"/>
        <v>3.9576958773833638E-2</v>
      </c>
      <c r="K41" s="3">
        <v>0.04</v>
      </c>
      <c r="L41" s="21">
        <f t="shared" si="3"/>
        <v>9400</v>
      </c>
      <c r="M41" s="7"/>
      <c r="N41" s="44"/>
      <c r="O41" s="23">
        <f t="shared" si="4"/>
        <v>3.9576958773833638E-2</v>
      </c>
      <c r="P41" s="15" t="s">
        <v>49</v>
      </c>
      <c r="Q41" s="56" t="s">
        <v>207</v>
      </c>
    </row>
    <row r="42" spans="1:17" s="56" customFormat="1" x14ac:dyDescent="0.2">
      <c r="A42" s="56" t="s">
        <v>76</v>
      </c>
      <c r="B42" s="14" t="s">
        <v>153</v>
      </c>
      <c r="C42" s="14" t="s">
        <v>197</v>
      </c>
      <c r="D42" s="48" t="str">
        <f t="shared" si="1"/>
        <v>OK</v>
      </c>
      <c r="E42" s="56" t="s">
        <v>112</v>
      </c>
      <c r="F42" s="8">
        <v>235485.28</v>
      </c>
      <c r="G42" s="56">
        <v>2228.71</v>
      </c>
      <c r="H42" s="56" t="s">
        <v>121</v>
      </c>
      <c r="J42" s="6">
        <f t="shared" si="2"/>
        <v>1.0642421824584374E-2</v>
      </c>
      <c r="K42" s="3">
        <v>0.01</v>
      </c>
      <c r="L42" s="21">
        <f t="shared" si="3"/>
        <v>-14200</v>
      </c>
      <c r="M42" s="7"/>
      <c r="N42" s="44"/>
      <c r="O42" s="23">
        <f t="shared" si="4"/>
        <v>1.0642421824584374E-2</v>
      </c>
      <c r="P42" s="15" t="s">
        <v>43</v>
      </c>
      <c r="Q42" s="56" t="s">
        <v>207</v>
      </c>
    </row>
    <row r="43" spans="1:17" s="56" customFormat="1" x14ac:dyDescent="0.2">
      <c r="A43" s="56" t="s">
        <v>76</v>
      </c>
      <c r="B43" s="14" t="s">
        <v>154</v>
      </c>
      <c r="C43" s="14" t="s">
        <v>198</v>
      </c>
      <c r="D43" s="48" t="str">
        <f t="shared" si="1"/>
        <v>OK</v>
      </c>
      <c r="E43" s="56" t="s">
        <v>113</v>
      </c>
      <c r="F43" s="8">
        <v>674135.4</v>
      </c>
      <c r="G43" s="56">
        <v>623045.66</v>
      </c>
      <c r="H43" s="56" t="s">
        <v>121</v>
      </c>
      <c r="J43" s="6">
        <f t="shared" si="2"/>
        <v>3.0466589222413042E-2</v>
      </c>
      <c r="K43" s="3">
        <v>0.03</v>
      </c>
      <c r="L43" s="21">
        <f t="shared" si="3"/>
        <v>-10300</v>
      </c>
      <c r="M43" s="7"/>
      <c r="N43" s="44"/>
      <c r="O43" s="23">
        <f t="shared" si="4"/>
        <v>3.0466589222413042E-2</v>
      </c>
      <c r="P43" s="15" t="s">
        <v>46</v>
      </c>
      <c r="Q43" s="56" t="s">
        <v>207</v>
      </c>
    </row>
    <row r="44" spans="1:17" s="56" customFormat="1" x14ac:dyDescent="0.2">
      <c r="A44" s="56" t="s">
        <v>76</v>
      </c>
      <c r="B44" s="14" t="s">
        <v>155</v>
      </c>
      <c r="C44" s="14" t="s">
        <v>199</v>
      </c>
      <c r="D44" s="48" t="str">
        <f t="shared" si="1"/>
        <v>OK</v>
      </c>
      <c r="E44" s="56" t="s">
        <v>114</v>
      </c>
      <c r="F44" s="8">
        <v>855022.29</v>
      </c>
      <c r="G44" s="56">
        <v>814772.527</v>
      </c>
      <c r="H44" s="56" t="s">
        <v>121</v>
      </c>
      <c r="J44" s="6">
        <f t="shared" si="2"/>
        <v>3.8641514576206674E-2</v>
      </c>
      <c r="K44" s="3">
        <v>0.04</v>
      </c>
      <c r="L44" s="21">
        <f t="shared" si="3"/>
        <v>30100</v>
      </c>
      <c r="M44" s="7"/>
      <c r="N44" s="44"/>
      <c r="O44" s="23">
        <f t="shared" si="4"/>
        <v>3.8641514576206674E-2</v>
      </c>
      <c r="P44" s="15" t="s">
        <v>213</v>
      </c>
      <c r="Q44" s="56" t="s">
        <v>207</v>
      </c>
    </row>
    <row r="45" spans="1:17" s="56" customFormat="1" x14ac:dyDescent="0.2">
      <c r="A45" s="56" t="s">
        <v>76</v>
      </c>
      <c r="B45" s="14" t="s">
        <v>156</v>
      </c>
      <c r="C45" s="14" t="s">
        <v>200</v>
      </c>
      <c r="D45" s="48" t="str">
        <f t="shared" si="1"/>
        <v>OK</v>
      </c>
      <c r="E45" s="56" t="s">
        <v>115</v>
      </c>
      <c r="F45" s="8">
        <v>616821.24</v>
      </c>
      <c r="G45" s="56">
        <v>213359.13</v>
      </c>
      <c r="H45" s="56" t="s">
        <v>121</v>
      </c>
      <c r="J45" s="6">
        <f t="shared" si="2"/>
        <v>2.7876357394581931E-2</v>
      </c>
      <c r="K45" s="3">
        <v>0.03</v>
      </c>
      <c r="L45" s="21">
        <f t="shared" si="3"/>
        <v>47000</v>
      </c>
      <c r="M45" s="7"/>
      <c r="N45" s="44"/>
      <c r="O45" s="23">
        <f t="shared" si="4"/>
        <v>2.7876357394581931E-2</v>
      </c>
      <c r="P45" s="15" t="s">
        <v>210</v>
      </c>
      <c r="Q45" s="56" t="s">
        <v>207</v>
      </c>
    </row>
    <row r="46" spans="1:17" s="56" customFormat="1" x14ac:dyDescent="0.2">
      <c r="A46" s="56" t="s">
        <v>76</v>
      </c>
      <c r="B46" s="14" t="s">
        <v>157</v>
      </c>
      <c r="C46" s="14" t="s">
        <v>201</v>
      </c>
      <c r="D46" s="48" t="str">
        <f t="shared" si="1"/>
        <v>OK</v>
      </c>
      <c r="E46" s="56" t="s">
        <v>116</v>
      </c>
      <c r="F46" s="8">
        <v>445846.53</v>
      </c>
      <c r="G46" s="56">
        <v>16031.878000000001</v>
      </c>
      <c r="H46" s="56" t="s">
        <v>121</v>
      </c>
      <c r="J46" s="6">
        <f t="shared" si="2"/>
        <v>2.0149398897830101E-2</v>
      </c>
      <c r="K46" s="3">
        <v>0.02</v>
      </c>
      <c r="L46" s="21">
        <f t="shared" si="3"/>
        <v>-3300</v>
      </c>
      <c r="M46" s="7"/>
      <c r="N46" s="44"/>
      <c r="O46" s="23">
        <f t="shared" si="4"/>
        <v>2.0149398897830101E-2</v>
      </c>
      <c r="P46" s="15" t="s">
        <v>214</v>
      </c>
      <c r="Q46" s="56" t="s">
        <v>207</v>
      </c>
    </row>
    <row r="47" spans="1:17" s="56" customFormat="1" x14ac:dyDescent="0.2">
      <c r="A47" s="56" t="s">
        <v>76</v>
      </c>
      <c r="B47" s="14" t="s">
        <v>158</v>
      </c>
      <c r="C47" s="14" t="s">
        <v>202</v>
      </c>
      <c r="D47" s="48" t="str">
        <f t="shared" si="1"/>
        <v>OK</v>
      </c>
      <c r="E47" s="56" t="s">
        <v>117</v>
      </c>
      <c r="F47" s="8">
        <v>437970.55</v>
      </c>
      <c r="G47" s="56">
        <v>3969.6415000000002</v>
      </c>
      <c r="H47" s="56" t="s">
        <v>121</v>
      </c>
      <c r="J47" s="6">
        <f t="shared" si="2"/>
        <v>1.9793455199599831E-2</v>
      </c>
      <c r="K47" s="3">
        <v>0.02</v>
      </c>
      <c r="L47" s="21">
        <f t="shared" si="3"/>
        <v>4600</v>
      </c>
      <c r="M47" s="7"/>
      <c r="N47" s="44"/>
      <c r="O47" s="23">
        <f t="shared" si="4"/>
        <v>1.9793455199599831E-2</v>
      </c>
      <c r="P47" s="15" t="s">
        <v>43</v>
      </c>
      <c r="Q47" s="56" t="s">
        <v>207</v>
      </c>
    </row>
    <row r="48" spans="1:17" s="56" customFormat="1" x14ac:dyDescent="0.2">
      <c r="A48" s="56" t="s">
        <v>76</v>
      </c>
      <c r="B48" s="14" t="s">
        <v>159</v>
      </c>
      <c r="C48" s="14" t="s">
        <v>203</v>
      </c>
      <c r="D48" s="48" t="str">
        <f t="shared" si="1"/>
        <v>OK</v>
      </c>
      <c r="E48" s="56" t="s">
        <v>118</v>
      </c>
      <c r="F48" s="8">
        <v>420239.47</v>
      </c>
      <c r="G48" s="56">
        <v>349616.864</v>
      </c>
      <c r="H48" s="56" t="s">
        <v>121</v>
      </c>
      <c r="J48" s="6">
        <f t="shared" si="2"/>
        <v>1.8992124293627909E-2</v>
      </c>
      <c r="K48" s="3">
        <v>0.02</v>
      </c>
      <c r="L48" s="21">
        <f t="shared" si="3"/>
        <v>22300</v>
      </c>
      <c r="M48" s="7"/>
      <c r="N48" s="44"/>
      <c r="O48" s="23">
        <f t="shared" si="4"/>
        <v>1.8992124293627909E-2</v>
      </c>
      <c r="P48" s="15" t="s">
        <v>43</v>
      </c>
      <c r="Q48" s="56" t="s">
        <v>207</v>
      </c>
    </row>
    <row r="49" spans="1:17" s="56" customFormat="1" x14ac:dyDescent="0.2">
      <c r="A49" s="56" t="s">
        <v>76</v>
      </c>
      <c r="B49" s="14" t="s">
        <v>160</v>
      </c>
      <c r="C49" s="14" t="s">
        <v>204</v>
      </c>
      <c r="D49" s="48" t="str">
        <f t="shared" si="1"/>
        <v>OK</v>
      </c>
      <c r="E49" s="56" t="s">
        <v>119</v>
      </c>
      <c r="F49" s="8">
        <v>435661.74</v>
      </c>
      <c r="G49" s="56">
        <v>18493.939999999999</v>
      </c>
      <c r="H49" s="56" t="s">
        <v>121</v>
      </c>
      <c r="J49" s="6">
        <f t="shared" si="2"/>
        <v>1.9689111820120574E-2</v>
      </c>
      <c r="K49" s="3">
        <v>0.02</v>
      </c>
      <c r="L49" s="21">
        <f t="shared" si="3"/>
        <v>6900</v>
      </c>
      <c r="M49" s="7"/>
      <c r="N49" s="44"/>
      <c r="O49" s="23">
        <f t="shared" si="4"/>
        <v>1.9689111820120574E-2</v>
      </c>
      <c r="P49" s="15" t="s">
        <v>42</v>
      </c>
      <c r="Q49" s="56" t="s">
        <v>207</v>
      </c>
    </row>
    <row r="50" spans="1:17" s="56" customFormat="1" x14ac:dyDescent="0.2">
      <c r="A50" s="56" t="s">
        <v>76</v>
      </c>
      <c r="B50" s="14" t="s">
        <v>161</v>
      </c>
      <c r="C50" s="14" t="s">
        <v>205</v>
      </c>
      <c r="D50" s="48" t="str">
        <f t="shared" si="1"/>
        <v>OK</v>
      </c>
      <c r="E50" s="56" t="s">
        <v>120</v>
      </c>
      <c r="F50" s="8">
        <v>425794.01</v>
      </c>
      <c r="G50" s="56">
        <v>594684.36699999997</v>
      </c>
      <c r="H50" s="56" t="s">
        <v>121</v>
      </c>
      <c r="J50" s="6">
        <f t="shared" si="2"/>
        <v>1.9243153817518011E-2</v>
      </c>
      <c r="K50" s="3">
        <v>0.02</v>
      </c>
      <c r="L50" s="21">
        <f t="shared" si="3"/>
        <v>16700</v>
      </c>
      <c r="M50" s="7"/>
      <c r="N50" s="44"/>
      <c r="O50" s="23">
        <f t="shared" si="4"/>
        <v>1.9243153817518011E-2</v>
      </c>
      <c r="P50" s="15" t="s">
        <v>42</v>
      </c>
      <c r="Q50" s="56" t="s">
        <v>207</v>
      </c>
    </row>
    <row r="51" spans="1:17" ht="13.5" customHeight="1" thickBot="1" x14ac:dyDescent="0.25">
      <c r="E51" s="16"/>
      <c r="K51" s="4"/>
      <c r="L51" s="24"/>
      <c r="M51" s="17"/>
      <c r="N51" s="24"/>
      <c r="O51" s="15"/>
    </row>
    <row r="52" spans="1:17" ht="13.5" customHeight="1" thickBot="1" x14ac:dyDescent="0.25">
      <c r="B52" s="36" t="s">
        <v>52</v>
      </c>
      <c r="C52" s="47"/>
      <c r="D52" s="47"/>
      <c r="E52" s="37"/>
      <c r="F52" s="18">
        <v>-15317.93</v>
      </c>
      <c r="J52" s="38" t="s">
        <v>53</v>
      </c>
      <c r="K52" s="57" t="s">
        <v>35</v>
      </c>
      <c r="L52" s="58"/>
      <c r="M52" s="39" t="s">
        <v>54</v>
      </c>
    </row>
    <row r="53" spans="1:17" x14ac:dyDescent="0.2">
      <c r="A53" s="5" t="s">
        <v>44</v>
      </c>
      <c r="B53" s="61" t="s">
        <v>55</v>
      </c>
      <c r="C53" s="62"/>
      <c r="D53" s="62"/>
      <c r="E53" s="62"/>
      <c r="F53" s="35">
        <f>VALU_JC+VALU_XA-VALU_BV+$F$52</f>
        <v>383295.70000000269</v>
      </c>
      <c r="G53" s="33">
        <v>252158.76</v>
      </c>
      <c r="H53" s="34">
        <v>22142356.670000002</v>
      </c>
      <c r="I53" s="34">
        <v>21995901.800000001</v>
      </c>
      <c r="J53" s="40">
        <f>F53/F55</f>
        <v>1.7322503228012272E-2</v>
      </c>
      <c r="K53" s="41">
        <v>0.02</v>
      </c>
      <c r="L53" s="42">
        <f>F53-SUM(L7:L51)</f>
        <v>442795.70000000269</v>
      </c>
      <c r="M53" s="43">
        <f>F53-SUM(N7:N52)</f>
        <v>383295.70000000269</v>
      </c>
      <c r="O53" s="23">
        <f>$M$53/$F$55</f>
        <v>1.7322503228012272E-2</v>
      </c>
      <c r="P53" s="5" t="s">
        <v>56</v>
      </c>
    </row>
    <row r="54" spans="1:17" x14ac:dyDescent="0.2">
      <c r="F54" s="27"/>
      <c r="G54" s="27"/>
      <c r="J54" s="23"/>
    </row>
    <row r="55" spans="1:17" x14ac:dyDescent="0.2">
      <c r="B55" s="63" t="s">
        <v>57</v>
      </c>
      <c r="C55" s="60"/>
      <c r="D55" s="60"/>
      <c r="E55" s="60"/>
      <c r="F55" s="28" cm="1">
        <f t="array" ref="F55">SUM(SUMIF(A:A,{"S","MF","G"},F:F))</f>
        <v>22127038.740000006</v>
      </c>
      <c r="I55" s="29">
        <f>MAX(J7:J53)</f>
        <v>4.0292706605529256E-2</v>
      </c>
      <c r="J55" s="23"/>
      <c r="K55" s="6">
        <f>SUM(K7:K54)</f>
        <v>1.0000000000000004</v>
      </c>
    </row>
    <row r="57" spans="1:17" x14ac:dyDescent="0.2">
      <c r="B57" s="59" t="str">
        <f>IF(I55&gt;0.2,"One or more of the holdings is currently over 20% of the portfolio value, please record the breach and report it to a fund manager",IF(I55&gt;0.15,"One or more of the holdings is over 15% of the portfolio value, please inform a fund manager",""))</f>
        <v/>
      </c>
      <c r="C57" s="60"/>
      <c r="D57" s="60"/>
      <c r="E57" s="60"/>
      <c r="F57" s="60"/>
      <c r="G57" s="60"/>
      <c r="H57" s="60"/>
      <c r="I57" s="60"/>
      <c r="J57" s="60"/>
      <c r="K57" s="11" t="s">
        <v>58</v>
      </c>
      <c r="L57" s="25">
        <f>SUM(L7:L51)</f>
        <v>-59500</v>
      </c>
      <c r="M57" s="25">
        <f>SUM(N7:N51)</f>
        <v>0</v>
      </c>
      <c r="N57" s="25"/>
    </row>
    <row r="58" spans="1:17" x14ac:dyDescent="0.2">
      <c r="B58" s="60"/>
      <c r="C58" s="60"/>
      <c r="D58" s="60"/>
      <c r="E58" s="60"/>
      <c r="F58" s="60"/>
      <c r="G58" s="60"/>
      <c r="H58" s="60"/>
      <c r="I58" s="60"/>
      <c r="J58" s="60"/>
      <c r="K58" s="6" t="s">
        <v>59</v>
      </c>
      <c r="L58" s="23">
        <f>($F$53-L57)/$F$55</f>
        <v>2.0011520981320547E-2</v>
      </c>
      <c r="M58" s="6">
        <f>($F$53-M57)/$F$55</f>
        <v>1.7322503228012272E-2</v>
      </c>
      <c r="N58" s="23"/>
    </row>
    <row r="59" spans="1:17" x14ac:dyDescent="0.2">
      <c r="B59" s="60"/>
      <c r="C59" s="60"/>
      <c r="D59" s="60"/>
      <c r="E59" s="60"/>
      <c r="F59" s="60"/>
      <c r="G59" s="60"/>
      <c r="H59" s="60"/>
      <c r="I59" s="60"/>
      <c r="J59" s="60"/>
    </row>
    <row r="60" spans="1:17" ht="32.25" customHeight="1" x14ac:dyDescent="0.2">
      <c r="E60" s="19" t="s">
        <v>60</v>
      </c>
      <c r="F60" s="12" t="s">
        <v>61</v>
      </c>
      <c r="G60" s="19"/>
      <c r="H60" s="19"/>
      <c r="I60" s="19"/>
      <c r="J60" s="20" t="s">
        <v>62</v>
      </c>
      <c r="K60" s="20" t="s">
        <v>63</v>
      </c>
      <c r="L60" s="22" t="s">
        <v>64</v>
      </c>
      <c r="M60" s="13"/>
      <c r="N60" s="22"/>
    </row>
    <row r="61" spans="1:17" x14ac:dyDescent="0.2">
      <c r="E61" s="32" t="s">
        <v>43</v>
      </c>
      <c r="F61" s="27">
        <f>SUMIF(P:P,E61,L:L)</f>
        <v>23100</v>
      </c>
      <c r="G61" s="27">
        <f>SUMIF(P:P,F61,G:G)+SUMIF(P:P,F61,O:O)</f>
        <v>0</v>
      </c>
      <c r="H61" s="27">
        <f>SUMIF(Q:Q,G61,H:H)+SUMIF(Q:Q,G61,P:P)</f>
        <v>0</v>
      </c>
      <c r="I61" s="27">
        <f>SUMIF(R:R,H61,I:I)+SUMIF(R:R,H61,Q:Q)</f>
        <v>0</v>
      </c>
      <c r="J61" s="29">
        <f>SUMIF(P:P,E61,K:K)</f>
        <v>0.15</v>
      </c>
      <c r="K61" s="29">
        <f>SUMIF(P:P,E61,$J:$J)</f>
        <v>0.14895126043422829</v>
      </c>
      <c r="L61" s="23">
        <f>SUMIF(P:P,E61,O:O)</f>
        <v>0.14895126043422829</v>
      </c>
    </row>
    <row r="62" spans="1:17" x14ac:dyDescent="0.2">
      <c r="E62" s="32" t="s">
        <v>48</v>
      </c>
      <c r="F62" s="27">
        <f>SUMIF(P:P,E62,L:L)</f>
        <v>0</v>
      </c>
      <c r="J62" s="29">
        <f>SUMIF(P:P,E62,K:K)</f>
        <v>0</v>
      </c>
      <c r="K62" s="29">
        <f>SUMIF(P:P,E62,$J:$J)</f>
        <v>0</v>
      </c>
      <c r="L62" s="23">
        <f>SUMIF(P:P,E62,O:O)</f>
        <v>0</v>
      </c>
    </row>
    <row r="63" spans="1:17" x14ac:dyDescent="0.2">
      <c r="E63" s="46" t="s">
        <v>51</v>
      </c>
      <c r="F63" s="27">
        <f>SUMIF(P:P,E63,L:L)</f>
        <v>-12100</v>
      </c>
      <c r="J63" s="29">
        <f>SUMIF(P:P,E63,K:K)</f>
        <v>0.04</v>
      </c>
      <c r="K63" s="29">
        <f>SUMIF(P:P,E63,$J:$J)</f>
        <v>4.0548006470385908E-2</v>
      </c>
      <c r="L63" s="23">
        <f>SUMIF(P:P,E63,O:O)</f>
        <v>4.0548006470385908E-2</v>
      </c>
    </row>
    <row r="64" spans="1:17" x14ac:dyDescent="0.2">
      <c r="E64" s="15" t="s">
        <v>47</v>
      </c>
      <c r="F64" s="27">
        <f>SUMIF(P:P,E64,L:L)</f>
        <v>0</v>
      </c>
      <c r="J64" s="29">
        <f>SUMIF(P:P,E64,K:K)</f>
        <v>0</v>
      </c>
      <c r="K64" s="29">
        <f>SUMIF(P:P,E64,$J:$J)</f>
        <v>0</v>
      </c>
      <c r="L64" s="23">
        <f>SUMIF(P:P,E64,O:O)</f>
        <v>0</v>
      </c>
    </row>
    <row r="65" spans="5:12" x14ac:dyDescent="0.2">
      <c r="E65" s="9" t="s">
        <v>65</v>
      </c>
      <c r="F65" s="28">
        <f>SUM(F61:F63)</f>
        <v>11000</v>
      </c>
      <c r="G65" s="30"/>
      <c r="H65" s="30"/>
      <c r="I65" s="30"/>
      <c r="J65" s="26">
        <f>SUM(J61:J64)</f>
        <v>0.19</v>
      </c>
      <c r="K65" s="26">
        <f>SUM(K61:K64)</f>
        <v>0.18949926690461422</v>
      </c>
      <c r="L65" s="26">
        <f>SUM(L61:L64)</f>
        <v>0.18949926690461422</v>
      </c>
    </row>
    <row r="66" spans="5:12" x14ac:dyDescent="0.2">
      <c r="F66" s="27"/>
      <c r="J66" s="23"/>
      <c r="K66" s="23"/>
    </row>
    <row r="67" spans="5:12" x14ac:dyDescent="0.2">
      <c r="E67" s="9" t="s">
        <v>66</v>
      </c>
      <c r="F67" s="27"/>
      <c r="J67" s="23"/>
      <c r="K67" s="23"/>
    </row>
    <row r="68" spans="5:12" x14ac:dyDescent="0.2">
      <c r="E68" s="32" t="s">
        <v>46</v>
      </c>
      <c r="F68" s="27">
        <f t="shared" ref="F68:F77" si="5">SUMIF(P:P,E68,L:L)</f>
        <v>-25300</v>
      </c>
      <c r="J68" s="29">
        <f t="shared" ref="J68:J77" si="6">SUMIF(P:P,E68,K:K)</f>
        <v>0.2</v>
      </c>
      <c r="K68" s="29">
        <f t="shared" ref="K68:K77" si="7">SUMIF(P:P,E68,$J:$J)</f>
        <v>0.20114274450807054</v>
      </c>
      <c r="L68" s="23">
        <f t="shared" ref="L68:L77" si="8">SUMIF(P:P,E68,O:O)</f>
        <v>0.20114274450807054</v>
      </c>
    </row>
    <row r="69" spans="5:12" x14ac:dyDescent="0.2">
      <c r="E69" s="32" t="s">
        <v>67</v>
      </c>
      <c r="F69" s="27">
        <f t="shared" si="5"/>
        <v>0</v>
      </c>
      <c r="J69" s="29">
        <f t="shared" si="6"/>
        <v>0</v>
      </c>
      <c r="K69" s="29">
        <f t="shared" si="7"/>
        <v>0</v>
      </c>
      <c r="L69" s="23">
        <f t="shared" si="8"/>
        <v>0</v>
      </c>
    </row>
    <row r="70" spans="5:12" x14ac:dyDescent="0.2">
      <c r="E70" s="32" t="s">
        <v>50</v>
      </c>
      <c r="F70" s="27">
        <f t="shared" si="5"/>
        <v>16600</v>
      </c>
      <c r="J70" s="29">
        <f t="shared" si="6"/>
        <v>0.1</v>
      </c>
      <c r="K70" s="29">
        <f t="shared" si="7"/>
        <v>9.9249431241335603E-2</v>
      </c>
      <c r="L70" s="23">
        <f t="shared" si="8"/>
        <v>9.9249431241335603E-2</v>
      </c>
    </row>
    <row r="71" spans="5:12" x14ac:dyDescent="0.2">
      <c r="E71" s="32" t="s">
        <v>45</v>
      </c>
      <c r="F71" s="27">
        <f t="shared" si="5"/>
        <v>-22700</v>
      </c>
      <c r="J71" s="29">
        <f t="shared" si="6"/>
        <v>7.0000000000000007E-2</v>
      </c>
      <c r="K71" s="29">
        <f t="shared" si="7"/>
        <v>7.1021559118940633E-2</v>
      </c>
      <c r="L71" s="23">
        <f t="shared" si="8"/>
        <v>7.1021559118940633E-2</v>
      </c>
    </row>
    <row r="72" spans="5:12" x14ac:dyDescent="0.2">
      <c r="E72" s="32" t="s">
        <v>49</v>
      </c>
      <c r="F72" s="27">
        <f t="shared" si="5"/>
        <v>-44100</v>
      </c>
      <c r="J72" s="29">
        <f t="shared" si="6"/>
        <v>0.1</v>
      </c>
      <c r="K72" s="29">
        <f t="shared" si="7"/>
        <v>0.10199693309706744</v>
      </c>
      <c r="L72" s="23">
        <f t="shared" si="8"/>
        <v>0.10199693309706744</v>
      </c>
    </row>
    <row r="73" spans="5:12" x14ac:dyDescent="0.2">
      <c r="E73" s="32" t="s">
        <v>42</v>
      </c>
      <c r="F73" s="27">
        <f t="shared" si="5"/>
        <v>41500</v>
      </c>
      <c r="J73" s="29">
        <f t="shared" si="6"/>
        <v>0.18</v>
      </c>
      <c r="K73" s="29">
        <f t="shared" si="7"/>
        <v>0.17812200070292816</v>
      </c>
      <c r="L73" s="23">
        <f t="shared" si="8"/>
        <v>0.17812200070292816</v>
      </c>
    </row>
    <row r="74" spans="5:12" x14ac:dyDescent="0.2">
      <c r="E74" s="32" t="s">
        <v>41</v>
      </c>
      <c r="F74" s="27">
        <f t="shared" si="5"/>
        <v>16100</v>
      </c>
      <c r="J74" s="29">
        <f t="shared" si="6"/>
        <v>0.11</v>
      </c>
      <c r="K74" s="29">
        <f t="shared" si="7"/>
        <v>0.10926784909673817</v>
      </c>
      <c r="L74" s="23">
        <f t="shared" si="8"/>
        <v>0.10926784909673817</v>
      </c>
    </row>
    <row r="75" spans="5:12" x14ac:dyDescent="0.2">
      <c r="E75" s="46" t="s">
        <v>68</v>
      </c>
      <c r="F75" s="27">
        <f t="shared" si="5"/>
        <v>0</v>
      </c>
      <c r="J75" s="29">
        <f t="shared" si="6"/>
        <v>0</v>
      </c>
      <c r="K75" s="29">
        <f t="shared" si="7"/>
        <v>0</v>
      </c>
      <c r="L75" s="23">
        <f t="shared" si="8"/>
        <v>0</v>
      </c>
    </row>
    <row r="76" spans="5:12" x14ac:dyDescent="0.2">
      <c r="E76" s="46" t="s">
        <v>69</v>
      </c>
      <c r="F76" s="27">
        <f t="shared" si="5"/>
        <v>0</v>
      </c>
      <c r="J76" s="29">
        <f t="shared" si="6"/>
        <v>0</v>
      </c>
      <c r="K76" s="29">
        <f t="shared" si="7"/>
        <v>0</v>
      </c>
      <c r="L76" s="23">
        <f t="shared" si="8"/>
        <v>0</v>
      </c>
    </row>
    <row r="77" spans="5:12" x14ac:dyDescent="0.2">
      <c r="E77" s="32" t="s">
        <v>70</v>
      </c>
      <c r="F77" s="27">
        <f t="shared" si="5"/>
        <v>-52600</v>
      </c>
      <c r="J77" s="29">
        <f t="shared" si="6"/>
        <v>0.03</v>
      </c>
      <c r="K77" s="29">
        <f t="shared" si="7"/>
        <v>3.2377712102292809E-2</v>
      </c>
      <c r="L77" s="23">
        <f t="shared" si="8"/>
        <v>3.2377712102292809E-2</v>
      </c>
    </row>
    <row r="78" spans="5:12" x14ac:dyDescent="0.2">
      <c r="E78" s="9" t="s">
        <v>71</v>
      </c>
      <c r="F78" s="28">
        <f>SUM(F68:F77)</f>
        <v>-70500</v>
      </c>
      <c r="G78" s="30"/>
      <c r="H78" s="30"/>
      <c r="I78" s="30"/>
      <c r="J78" s="31">
        <f>SUM(J68:J77)</f>
        <v>0.79000000000000015</v>
      </c>
      <c r="K78" s="26">
        <f>SUM(K68:K77)</f>
        <v>0.7931782298673733</v>
      </c>
      <c r="L78" s="26">
        <f>SUM(L68:L77)</f>
        <v>0.7931782298673733</v>
      </c>
    </row>
    <row r="79" spans="5:12" x14ac:dyDescent="0.2">
      <c r="F79" s="27"/>
      <c r="J79" s="23"/>
      <c r="K79" s="23"/>
    </row>
    <row r="80" spans="5:12" x14ac:dyDescent="0.2">
      <c r="E80" s="5" t="s">
        <v>56</v>
      </c>
      <c r="F80" s="27">
        <f>SUMIF(O:O,E80,F:F)+SUMIF(O:O,E80,L:L)</f>
        <v>0</v>
      </c>
      <c r="J80" s="29">
        <f>SUMIF(P:P,E80,K:K)</f>
        <v>0.02</v>
      </c>
      <c r="K80" s="29">
        <f>SUMIF(P:P,E80,J:J)</f>
        <v>1.7322503228012272E-2</v>
      </c>
      <c r="L80" s="23">
        <f>SUMIF(P:P,E80,O:O)</f>
        <v>1.7322503228012272E-2</v>
      </c>
    </row>
    <row r="81" spans="6:12" x14ac:dyDescent="0.2">
      <c r="F81" s="23">
        <f>SUM(F65+F78+F80)</f>
        <v>-59500</v>
      </c>
      <c r="J81" s="23">
        <f>SUM(J65+J78+J80)</f>
        <v>1.0000000000000002</v>
      </c>
      <c r="K81" s="23">
        <f>SUM(K65+K78+K80)</f>
        <v>0.99999999999999989</v>
      </c>
      <c r="L81" s="23">
        <f>SUM(L65+L78+L80)</f>
        <v>0.99999999999999989</v>
      </c>
    </row>
  </sheetData>
  <autoFilter ref="A6:V6" xr:uid="{00000000-0001-0000-0200-000000000000}">
    <sortState xmlns:xlrd2="http://schemas.microsoft.com/office/spreadsheetml/2017/richdata2" ref="A7:V45">
      <sortCondition ref="E6"/>
    </sortState>
  </autoFilter>
  <mergeCells count="7">
    <mergeCell ref="K52:L52"/>
    <mergeCell ref="B57:J59"/>
    <mergeCell ref="B53:E53"/>
    <mergeCell ref="B55:E55"/>
    <mergeCell ref="B1:J1"/>
    <mergeCell ref="B2:J2"/>
    <mergeCell ref="B3:J3"/>
  </mergeCells>
  <conditionalFormatting sqref="B57:J59">
    <cfRule type="expression" dxfId="18" priority="190" stopIfTrue="1">
      <formula>$I55&gt;0.2</formula>
    </cfRule>
  </conditionalFormatting>
  <conditionalFormatting sqref="K51:K52">
    <cfRule type="expression" dxfId="17" priority="115" stopIfTrue="1">
      <formula>OR(J51-K51&gt;=0.005,J51-K51&lt;=-0.005)</formula>
    </cfRule>
  </conditionalFormatting>
  <conditionalFormatting sqref="K7">
    <cfRule type="expression" dxfId="16" priority="99" stopIfTrue="1">
      <formula>OR(J7-K7&gt;=0.005,J7-K7&lt;=-0.005)</formula>
    </cfRule>
  </conditionalFormatting>
  <conditionalFormatting sqref="O7">
    <cfRule type="expression" dxfId="15" priority="93" stopIfTrue="1">
      <formula>OR(O7-K7&gt;=0.005,O7-K7&lt;=-0.005)</formula>
    </cfRule>
  </conditionalFormatting>
  <conditionalFormatting sqref="E77 L61:L64">
    <cfRule type="expression" dxfId="14" priority="86" stopIfTrue="1">
      <formula>OR($L61-$J61&gt;=0.005,$L61-$J61&lt;=-0.005)</formula>
    </cfRule>
  </conditionalFormatting>
  <conditionalFormatting sqref="E61:E62">
    <cfRule type="expression" dxfId="13" priority="84" stopIfTrue="1">
      <formula>OR($L61-$J61&gt;=0.005,$L61-$J61&lt;=-0.005)</formula>
    </cfRule>
  </conditionalFormatting>
  <conditionalFormatting sqref="E68:E74">
    <cfRule type="expression" dxfId="12" priority="82" stopIfTrue="1">
      <formula>OR($L68-$J68&gt;=0.005,$L68-$J68&lt;=-0.005)</formula>
    </cfRule>
  </conditionalFormatting>
  <conditionalFormatting sqref="U5">
    <cfRule type="expression" dxfId="11" priority="72" stopIfTrue="1">
      <formula>$M5&lt;&gt;""</formula>
    </cfRule>
  </conditionalFormatting>
  <conditionalFormatting sqref="B51:D51">
    <cfRule type="expression" dxfId="10" priority="71" stopIfTrue="1">
      <formula>AND(OR($B51=$V$5,$B51=$V$6),$M51&lt;&gt;"")</formula>
    </cfRule>
  </conditionalFormatting>
  <conditionalFormatting sqref="F51">
    <cfRule type="expression" dxfId="9" priority="69" stopIfTrue="1">
      <formula>AND(OR($B51=$V$5,$B51=$V$6),$M51&lt;&gt;"")</formula>
    </cfRule>
  </conditionalFormatting>
  <conditionalFormatting sqref="E65:E205 E7 N7 N51:N205 E51:E63">
    <cfRule type="expression" dxfId="8" priority="191" stopIfTrue="1">
      <formula>$N7&lt;&gt;""</formula>
    </cfRule>
  </conditionalFormatting>
  <conditionalFormatting sqref="B7:E7">
    <cfRule type="expression" dxfId="7" priority="193" stopIfTrue="1">
      <formula>AND(OR($B7=$V$5,$B7=$V$6),$N7&lt;&gt;"")</formula>
    </cfRule>
  </conditionalFormatting>
  <conditionalFormatting sqref="F7">
    <cfRule type="expression" dxfId="6" priority="195" stopIfTrue="1">
      <formula>AND(OR($B7=$V$5,$B7=$V$6),$N7&lt;&gt;"")</formula>
    </cfRule>
  </conditionalFormatting>
  <conditionalFormatting sqref="L68:L77">
    <cfRule type="expression" dxfId="5" priority="56" stopIfTrue="1">
      <formula>OR($L68-$J68&gt;=0.005,$L68-$J68&lt;=-0.005)</formula>
    </cfRule>
  </conditionalFormatting>
  <conditionalFormatting sqref="K8:K50">
    <cfRule type="expression" dxfId="4" priority="2" stopIfTrue="1">
      <formula>OR(J8-K8&gt;=0.005,J8-K8&lt;=-0.005)</formula>
    </cfRule>
  </conditionalFormatting>
  <conditionalFormatting sqref="O8:O50">
    <cfRule type="expression" dxfId="3" priority="1" stopIfTrue="1">
      <formula>OR(O8-K8&gt;=0.005,O8-K8&lt;=-0.005)</formula>
    </cfRule>
  </conditionalFormatting>
  <conditionalFormatting sqref="E8:E50 N8:N50">
    <cfRule type="expression" dxfId="2" priority="3" stopIfTrue="1">
      <formula>$N8&lt;&gt;""</formula>
    </cfRule>
  </conditionalFormatting>
  <conditionalFormatting sqref="B8:E50">
    <cfRule type="expression" dxfId="1" priority="4" stopIfTrue="1">
      <formula>AND(OR($B8=$V$5,$B8=$V$6),$N8&lt;&gt;"")</formula>
    </cfRule>
  </conditionalFormatting>
  <conditionalFormatting sqref="F8:F50">
    <cfRule type="expression" dxfId="0" priority="5" stopIfTrue="1">
      <formula>AND(OR($B8=$V$5,$B8=$V$6),$N8&lt;&gt;"")</formula>
    </cfRule>
  </conditionalFormatting>
  <pageMargins left="0.75" right="0.75" top="1" bottom="1" header="0.5" footer="0.5"/>
  <pageSetup paperSize="9" scale="79" orientation="landscape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35</vt:i4>
      </vt:variant>
    </vt:vector>
  </HeadingPairs>
  <TitlesOfParts>
    <vt:vector size="38" baseType="lpstr">
      <vt:lpstr>IOControl</vt:lpstr>
      <vt:lpstr>APOLLO_LINKS</vt:lpstr>
      <vt:lpstr>Rebalancer</vt:lpstr>
      <vt:lpstr>DIST_2C_COL</vt:lpstr>
      <vt:lpstr>DIST_AG_COL</vt:lpstr>
      <vt:lpstr>DIST_CV_COL</vt:lpstr>
      <vt:lpstr>DIST_D1_COL</vt:lpstr>
      <vt:lpstr>DIST_DETAIL_ROW</vt:lpstr>
      <vt:lpstr>DIST_INSERTED_ROWS</vt:lpstr>
      <vt:lpstr>DIST_LC_COL</vt:lpstr>
      <vt:lpstr>DIST_NM_COL</vt:lpstr>
      <vt:lpstr>DIST_REQ_ACCOUNT</vt:lpstr>
      <vt:lpstr>DIST_REQ_DATE</vt:lpstr>
      <vt:lpstr>DIST_REQ_FILTER_CODE_1</vt:lpstr>
      <vt:lpstr>DIST_REQ_FILTER_CODE_2</vt:lpstr>
      <vt:lpstr>DIST_REQ_FILTER_OPERAND_1</vt:lpstr>
      <vt:lpstr>DIST_REQ_FILTER_OPERAND_2</vt:lpstr>
      <vt:lpstr>DIST_REQ_FILTER_VALUE_1</vt:lpstr>
      <vt:lpstr>DIST_REQ_FILTER_VALUE_2</vt:lpstr>
      <vt:lpstr>DIST_REQ_SCTY_ONLY</vt:lpstr>
      <vt:lpstr>DIST_SN_COL</vt:lpstr>
      <vt:lpstr>DIST_U5_COL</vt:lpstr>
      <vt:lpstr>IO_DATA</vt:lpstr>
      <vt:lpstr>IO_DATA2</vt:lpstr>
      <vt:lpstr>IO_REPORT_TYPE</vt:lpstr>
      <vt:lpstr>IO_REPORT_TYPE2</vt:lpstr>
      <vt:lpstr>PARM_Account</vt:lpstr>
      <vt:lpstr>PARM_Date</vt:lpstr>
      <vt:lpstr>Rebalancer!Print_Area</vt:lpstr>
      <vt:lpstr>VALU_BV</vt:lpstr>
      <vt:lpstr>VALU_JC</vt:lpstr>
      <vt:lpstr>VALU_MN</vt:lpstr>
      <vt:lpstr>VALU_REQ_ACCOUNT</vt:lpstr>
      <vt:lpstr>VALU_REQ_CLASS</vt:lpstr>
      <vt:lpstr>VALU_REQ_DATE</vt:lpstr>
      <vt:lpstr>VALU_REQ_PERIOD_TYPE</vt:lpstr>
      <vt:lpstr>VALU_REQ_PERIODS</vt:lpstr>
      <vt:lpstr>VALU_XA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Jealous</dc:creator>
  <cp:lastModifiedBy>Richard Armstrong</cp:lastModifiedBy>
  <cp:lastPrinted>2016-07-22T13:36:06Z</cp:lastPrinted>
  <dcterms:created xsi:type="dcterms:W3CDTF">2006-02-16T14:45:42Z</dcterms:created>
  <dcterms:modified xsi:type="dcterms:W3CDTF">2023-04-19T15:37:47Z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2022-02-24T16:22:12Z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f0f2e7c6-363b-475c-94f5-d6da150ca9e6</vt:lpwstr>
  </property>
  <property fmtid="{D5CDD505-2E9C-101B-9397-08002B2CF9AE}" pid="8" name="MSIP_Label_5b3f6bee-25a2-4071-976d-445ec8dd7ff4_ContentBits">
    <vt:lpwstr>0</vt:lpwstr>
  </property>
</Properties>
</file>