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Clarion Portfolio Construction\"/>
    </mc:Choice>
  </mc:AlternateContent>
  <xr:revisionPtr revIDLastSave="0" documentId="8_{EB6EEC2A-0E86-4088-943E-8C73FA8648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Rebalancer!$8:$28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Rebalancer!$A$1:$Q$34</definedName>
    <definedName name="VALU_BV">Rebalancer!$I$32</definedName>
    <definedName name="VALU_JC">Rebalancer!$G$32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B6" i="1"/>
  <c r="J43" i="3" l="1"/>
  <c r="J59" i="3"/>
  <c r="J56" i="3"/>
  <c r="L55" i="3"/>
  <c r="K55" i="3"/>
  <c r="J55" i="3"/>
  <c r="F55" i="3"/>
  <c r="L54" i="3"/>
  <c r="K54" i="3"/>
  <c r="J54" i="3"/>
  <c r="F54" i="3"/>
  <c r="J53" i="3"/>
  <c r="J52" i="3"/>
  <c r="J51" i="3"/>
  <c r="J50" i="3"/>
  <c r="J49" i="3"/>
  <c r="J48" i="3"/>
  <c r="J47" i="3"/>
  <c r="J42" i="3"/>
  <c r="J41" i="3"/>
  <c r="J40" i="3"/>
  <c r="M36" i="3"/>
  <c r="K34" i="3"/>
  <c r="F32" i="3"/>
  <c r="D7" i="3"/>
  <c r="B4" i="3"/>
  <c r="B3" i="3"/>
  <c r="L1" i="3"/>
  <c r="B14" i="1"/>
  <c r="B12" i="1"/>
  <c r="B5" i="1"/>
  <c r="J44" i="3" l="1"/>
  <c r="J57" i="3"/>
  <c r="F34" i="3"/>
  <c r="M32" i="3"/>
  <c r="J25" i="3" l="1"/>
  <c r="J19" i="3"/>
  <c r="J15" i="3"/>
  <c r="J11" i="3"/>
  <c r="J28" i="3"/>
  <c r="J26" i="3"/>
  <c r="J24" i="3"/>
  <c r="J22" i="3"/>
  <c r="J20" i="3"/>
  <c r="J18" i="3"/>
  <c r="J16" i="3"/>
  <c r="J14" i="3"/>
  <c r="J12" i="3"/>
  <c r="J10" i="3"/>
  <c r="J8" i="3"/>
  <c r="J23" i="3"/>
  <c r="J21" i="3"/>
  <c r="J17" i="3"/>
  <c r="J13" i="3"/>
  <c r="J9" i="3"/>
  <c r="J27" i="3"/>
  <c r="K56" i="3"/>
  <c r="J60" i="3"/>
  <c r="O32" i="3"/>
  <c r="L59" i="3" s="1"/>
  <c r="F59" i="3" s="1"/>
  <c r="M37" i="3"/>
  <c r="J32" i="3"/>
  <c r="K59" i="3" s="1"/>
  <c r="K43" i="3"/>
  <c r="J7" i="3"/>
  <c r="K48" i="3" s="1"/>
  <c r="O10" i="3" l="1"/>
  <c r="L10" i="3"/>
  <c r="L26" i="3"/>
  <c r="O26" i="3"/>
  <c r="O9" i="3"/>
  <c r="L9" i="3"/>
  <c r="O14" i="3"/>
  <c r="L14" i="3"/>
  <c r="O11" i="3"/>
  <c r="L11" i="3"/>
  <c r="O21" i="3"/>
  <c r="L21" i="3"/>
  <c r="L25" i="3"/>
  <c r="O25" i="3"/>
  <c r="O23" i="3"/>
  <c r="L23" i="3"/>
  <c r="O22" i="3"/>
  <c r="L22" i="3"/>
  <c r="O8" i="3"/>
  <c r="L56" i="3" s="1"/>
  <c r="L8" i="3"/>
  <c r="O27" i="3"/>
  <c r="L27" i="3"/>
  <c r="O28" i="3"/>
  <c r="L28" i="3"/>
  <c r="L13" i="3"/>
  <c r="O13" i="3"/>
  <c r="O16" i="3"/>
  <c r="L16" i="3"/>
  <c r="O15" i="3"/>
  <c r="L15" i="3"/>
  <c r="O20" i="3"/>
  <c r="L20" i="3"/>
  <c r="O24" i="3"/>
  <c r="L24" i="3"/>
  <c r="O12" i="3"/>
  <c r="L12" i="3"/>
  <c r="O17" i="3"/>
  <c r="L17" i="3"/>
  <c r="O18" i="3"/>
  <c r="L18" i="3"/>
  <c r="O19" i="3"/>
  <c r="L19" i="3"/>
  <c r="K51" i="3"/>
  <c r="F56" i="3"/>
  <c r="F41" i="3"/>
  <c r="K41" i="3"/>
  <c r="I34" i="3"/>
  <c r="B36" i="3" s="1"/>
  <c r="K42" i="3"/>
  <c r="K40" i="3"/>
  <c r="K49" i="3"/>
  <c r="K50" i="3"/>
  <c r="K52" i="3"/>
  <c r="L7" i="3"/>
  <c r="F48" i="3" s="1"/>
  <c r="O7" i="3"/>
  <c r="F42" i="3"/>
  <c r="L42" i="3"/>
  <c r="K53" i="3"/>
  <c r="K47" i="3"/>
  <c r="F43" i="3"/>
  <c r="L49" i="3" l="1"/>
  <c r="L51" i="3"/>
  <c r="L53" i="3"/>
  <c r="L48" i="3"/>
  <c r="L41" i="3"/>
  <c r="F52" i="3"/>
  <c r="F49" i="3"/>
  <c r="L40" i="3"/>
  <c r="K44" i="3"/>
  <c r="K57" i="3"/>
  <c r="L36" i="3"/>
  <c r="L37" i="3" s="1"/>
  <c r="L43" i="3"/>
  <c r="F40" i="3"/>
  <c r="G40" i="3" s="1"/>
  <c r="H40" i="3" s="1"/>
  <c r="I40" i="3" s="1"/>
  <c r="L50" i="3"/>
  <c r="F47" i="3"/>
  <c r="F51" i="3"/>
  <c r="F53" i="3"/>
  <c r="L47" i="3"/>
  <c r="L32" i="3"/>
  <c r="F50" i="3"/>
  <c r="L52" i="3"/>
  <c r="F57" i="3" l="1"/>
  <c r="K60" i="3"/>
  <c r="L44" i="3"/>
  <c r="F44" i="3"/>
  <c r="L57" i="3"/>
  <c r="F60" i="3" l="1"/>
  <c r="L60" i="3"/>
</calcChain>
</file>

<file path=xl/sharedStrings.xml><?xml version="1.0" encoding="utf-8"?>
<sst xmlns="http://schemas.openxmlformats.org/spreadsheetml/2006/main" count="213" uniqueCount="144">
  <si>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</si>
  <si>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</si>
  <si>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</si>
  <si>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</si>
  <si>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</si>
  <si>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</si>
  <si>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</si>
  <si>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</si>
  <si>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</si>
  <si>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</si>
  <si>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</si>
  <si>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</si>
  <si>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</si>
  <si>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</si>
  <si>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</si>
  <si>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</si>
  <si>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</si>
  <si>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</si>
  <si>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</si>
  <si>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</si>
  <si>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</si>
  <si>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</si>
  <si>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</si>
  <si>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</si>
  <si>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</si>
  <si>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</si>
  <si>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</si>
  <si>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</si>
  <si>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</si>
  <si>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</si>
  <si>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</si>
  <si>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</si>
  <si>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</si>
  <si>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</si>
  <si>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</si>
  <si>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</si>
  <si>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</si>
  <si>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</si>
  <si>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</si>
  <si>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</si>
  <si>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</si>
  <si>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</si>
  <si>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</si>
  <si>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</si>
  <si>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</si>
  <si>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</si>
  <si>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</si>
  <si>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</si>
  <si>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</si>
  <si>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</si>
  <si>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</si>
  <si>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</si>
  <si>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</si>
  <si>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</si>
  <si>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</si>
  <si>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</si>
  <si>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</si>
  <si>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</si>
  <si>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</si>
  <si>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</si>
  <si>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</si>
  <si>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</si>
  <si>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</si>
  <si>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</si>
  <si>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</si>
  <si>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</si>
  <si>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</si>
  <si>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</si>
  <si>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</si>
  <si>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</si>
  <si>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</si>
  <si>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</si>
  <si>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</si>
  <si>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</si>
  <si>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Notes</t>
  </si>
  <si>
    <t>Sector</t>
  </si>
  <si>
    <t>14/7/2022</t>
  </si>
  <si>
    <t>STRATEGIC</t>
  </si>
  <si>
    <t>MF</t>
  </si>
  <si>
    <t>BLACKROCK UK EQUITY I ACC</t>
  </si>
  <si>
    <t>BAILLIE GIFFORD JAPANESE B ACC</t>
  </si>
  <si>
    <t>STEWART INVESTORS ASA PAC LDRS B ACC GBP</t>
  </si>
  <si>
    <t>ROYAL LONDON GLOBAL INDEX LINKED Z INC</t>
  </si>
  <si>
    <t>ARTEMIS GLOBAL SELECT FUND I ACC</t>
  </si>
  <si>
    <t>FRANKLIN UK EQUITY INCOME FUND W ACC</t>
  </si>
  <si>
    <t>MFM SLATER GROWTH CLASS P ACC</t>
  </si>
  <si>
    <t>LF Blue Whale Growth Fund I Sterling Acc</t>
  </si>
  <si>
    <t>AHFM STRUCTURED PRODUCTS FUND B GBP ACC</t>
  </si>
  <si>
    <t>ASI Short Dated Glbl Corp Bond Tracker Fund B Acc</t>
  </si>
  <si>
    <t>FIDELITY INDEX US P ACC</t>
  </si>
  <si>
    <t>ARTEMIS TGT BD FD F ACC</t>
  </si>
  <si>
    <t>L&amp;G SHORT DATED STERLING CORPORATE BOND INDEX FUND</t>
  </si>
  <si>
    <t>ALLIANZ UK EQUITY INCOME FUND CLASS E SHARES INCOM</t>
  </si>
  <si>
    <t>ABERDEEN ASIA PACIFIC EQUITY ENHANCED INDEX B ACC</t>
  </si>
  <si>
    <t>BLACKROCK CONTINENTAL EUROPE X ACC</t>
  </si>
  <si>
    <t>MERIAN GOLD &amp; SILVER FUND R GBP ACC</t>
  </si>
  <si>
    <t>GBP</t>
  </si>
  <si>
    <t>B53R4H7</t>
  </si>
  <si>
    <t>B568S20</t>
  </si>
  <si>
    <t>B7DRD63</t>
  </si>
  <si>
    <t>B7T0G90</t>
  </si>
  <si>
    <t>BD6PG56</t>
  </si>
  <si>
    <t>BFLR220</t>
  </si>
  <si>
    <t>BG08N39</t>
  </si>
  <si>
    <t>BJS8SH1</t>
  </si>
  <si>
    <t>BJXPPK9</t>
  </si>
  <si>
    <t>BKGR3F0</t>
  </si>
  <si>
    <t>BMH6XK5</t>
  </si>
  <si>
    <t>BRJL7V2</t>
  </si>
  <si>
    <t>BYSXC02</t>
  </si>
  <si>
    <t>BYVJRH9</t>
  </si>
  <si>
    <t>GB0005803530</t>
  </si>
  <si>
    <t>GB0006011133</t>
  </si>
  <si>
    <t>GB0033874768</t>
  </si>
  <si>
    <t>GB00B53R4H74</t>
  </si>
  <si>
    <t>GB00B568S201</t>
  </si>
  <si>
    <t>GB00B7DRD638</t>
  </si>
  <si>
    <t>GB00B7T0G907</t>
  </si>
  <si>
    <t>GB00BD6PG563</t>
  </si>
  <si>
    <t>IE00BFLR2202</t>
  </si>
  <si>
    <t>GB00BG08N399</t>
  </si>
  <si>
    <t>GB00BJS8SH10</t>
  </si>
  <si>
    <t>GB00BJXPPK95</t>
  </si>
  <si>
    <t>GB00BKGR3F07</t>
  </si>
  <si>
    <t>GB00BMH6XK58</t>
  </si>
  <si>
    <t>GB00BRJL7V21</t>
  </si>
  <si>
    <t>GB00BYSXC022</t>
  </si>
  <si>
    <t>IE00BYVJRH94</t>
  </si>
  <si>
    <t>GB00B3X7QG63</t>
  </si>
  <si>
    <t>B3X7QG6</t>
  </si>
  <si>
    <t>VANGUARD FTSE UK ALL SHARE INDEX UNIT TRUST ACC</t>
  </si>
  <si>
    <t>JP MORGAN EMERGING MARKETS INCOME C ACC</t>
  </si>
  <si>
    <t>FIDELITY SOUTH EAST ASIA W ACC</t>
  </si>
  <si>
    <t>STANDARD LIFE GLOBAL EMERGING MARKETS EQUITY INCOM</t>
  </si>
  <si>
    <t>ROYAL LONDON STERLING CREDIT Z ACC</t>
  </si>
  <si>
    <t>B5M5KY1</t>
  </si>
  <si>
    <t>B6Y7NF4</t>
  </si>
  <si>
    <t>B82VD29</t>
  </si>
  <si>
    <t>BKLJX95</t>
  </si>
  <si>
    <t>GB00B5M5KY18</t>
  </si>
  <si>
    <t>GB00B6Y7NF43</t>
  </si>
  <si>
    <t>GB00B82VD295</t>
  </si>
  <si>
    <t>GB00BKLJX955</t>
  </si>
  <si>
    <t>CLARION NAVIGATOR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</si>
</sst>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NumberFormat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9"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B13" sqref="B1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253302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 t="s">
        <v>76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253302</v>
      </c>
    </row>
    <row r="6" spans="1:9" x14ac:dyDescent="0.2">
      <c r="A6" t="s">
        <v>14</v>
      </c>
      <c r="B6" s="1" t="str">
        <f>PARM_Date</f>
        <v>14/7/2022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253302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 t="str">
        <f>PARM_Date</f>
        <v>14/7/2022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60"/>
  <sheetViews>
    <sheetView showGridLines="0" tabSelected="1" zoomScaleNormal="100" workbookViewId="0">
      <selection activeCell="E28" sqref="E28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customWidth="1"/>
    <col min="8" max="8" width="5.5703125" style="5" customWidth="1"/>
    <col min="9" max="9" width="5.140625" style="5" customWidth="1"/>
    <col min="10" max="10" width="12" style="6" customWidth="1"/>
    <col min="11" max="11" width="12.85546875" style="6" customWidth="1"/>
    <col min="12" max="12" width="15.5703125" style="21" customWidth="1"/>
    <col min="13" max="13" width="12.7109375" style="7" bestFit="1" customWidth="1"/>
    <col min="14" max="14" width="11.2851562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6" t="s">
        <v>25</v>
      </c>
      <c r="C1" s="62"/>
      <c r="D1" s="62"/>
      <c r="E1" s="62"/>
      <c r="F1" s="62"/>
      <c r="G1" s="62"/>
      <c r="H1" s="62"/>
      <c r="I1" s="62"/>
      <c r="J1" s="62"/>
      <c r="K1" s="51" t="s">
        <v>26</v>
      </c>
      <c r="L1" s="52">
        <f>COUNT(N:N)</f>
        <v>0</v>
      </c>
      <c r="M1" s="50"/>
    </row>
    <row r="2" spans="1:22" x14ac:dyDescent="0.2">
      <c r="B2" s="66" t="s">
        <v>143</v>
      </c>
      <c r="C2" s="62"/>
      <c r="D2" s="62"/>
      <c r="E2" s="62"/>
      <c r="F2" s="62"/>
      <c r="G2" s="62"/>
      <c r="H2" s="62"/>
      <c r="I2" s="62"/>
      <c r="J2" s="62"/>
      <c r="K2" s="49"/>
    </row>
    <row r="3" spans="1:22" x14ac:dyDescent="0.2">
      <c r="B3" s="67" t="str">
        <f>IF(IOControl!E3&lt;1,"",""&amp;TEXT(IOControl!E3,"dd mmm yyyy"))</f>
        <v>14 Jul 2022</v>
      </c>
      <c r="C3" s="62"/>
      <c r="D3" s="62"/>
      <c r="E3" s="62"/>
      <c r="F3" s="62"/>
      <c r="G3" s="62"/>
      <c r="H3" s="62"/>
      <c r="I3" s="62"/>
      <c r="J3" s="62"/>
    </row>
    <row r="4" spans="1:22" x14ac:dyDescent="0.2">
      <c r="B4" s="54">
        <f>IF(PARM_Account&lt;1,"",PARM_Account)</f>
        <v>253302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P6" s="57" t="s">
        <v>75</v>
      </c>
      <c r="Q6" s="57" t="s">
        <v>74</v>
      </c>
      <c r="R6" s="56"/>
      <c r="U6" s="15" t="s">
        <v>39</v>
      </c>
      <c r="V6" s="14" t="s">
        <v>40</v>
      </c>
    </row>
    <row r="7" spans="1:22" x14ac:dyDescent="0.2">
      <c r="A7" s="5" t="s">
        <v>44</v>
      </c>
      <c r="B7" s="14">
        <v>580353</v>
      </c>
      <c r="C7" s="14" t="s">
        <v>111</v>
      </c>
      <c r="D7" s="48" t="str">
        <f t="shared" ref="D7" si="0">IF(RIGHT(LEFT(C7,11),7)=B7,"OK","CHECK")</f>
        <v>CHECK</v>
      </c>
      <c r="E7" s="5" t="s">
        <v>79</v>
      </c>
      <c r="F7" s="8">
        <v>1090054.1000000001</v>
      </c>
      <c r="G7" s="5">
        <v>12947.733</v>
      </c>
      <c r="H7" s="5" t="s">
        <v>96</v>
      </c>
      <c r="J7" s="6">
        <f>F7/F$34</f>
        <v>2.7643956924510184E-2</v>
      </c>
      <c r="K7" s="3">
        <v>0</v>
      </c>
      <c r="L7" s="21">
        <f>ROUND((K7-J7)*F$34,-2)</f>
        <v>-1090100</v>
      </c>
      <c r="N7" s="44"/>
      <c r="O7" s="23">
        <f>IF(OR(N7="",F7=""),J7,(F7+N7)/$F$34)</f>
        <v>2.7643956924510184E-2</v>
      </c>
      <c r="P7" s="15" t="s">
        <v>67</v>
      </c>
    </row>
    <row r="8" spans="1:22" s="58" customFormat="1" x14ac:dyDescent="0.2">
      <c r="A8" s="58" t="s">
        <v>78</v>
      </c>
      <c r="B8" s="14">
        <v>601113</v>
      </c>
      <c r="C8" s="14" t="s">
        <v>112</v>
      </c>
      <c r="D8" s="48" t="str">
        <f t="shared" ref="D8:D28" si="1">IF(RIGHT(LEFT(C8,11),7)=B8,"OK","CHECK")</f>
        <v>CHECK</v>
      </c>
      <c r="E8" s="58" t="s">
        <v>80</v>
      </c>
      <c r="F8" s="8">
        <v>2315252.63</v>
      </c>
      <c r="G8" s="58">
        <v>132679.234</v>
      </c>
      <c r="H8" s="58" t="s">
        <v>96</v>
      </c>
      <c r="J8" s="6">
        <f>F8/F$34</f>
        <v>5.8715199523655663E-2</v>
      </c>
      <c r="K8" s="3">
        <v>0</v>
      </c>
      <c r="L8" s="21">
        <f>ROUND((K8-J8)*F$34,-2)</f>
        <v>-2315300</v>
      </c>
      <c r="M8" s="7"/>
      <c r="N8" s="44"/>
      <c r="O8" s="23">
        <f>IF(OR(N8="",F8=""),J8,(F8+N8)/$F$34)</f>
        <v>5.8715199523655663E-2</v>
      </c>
      <c r="P8" s="15" t="s">
        <v>70</v>
      </c>
    </row>
    <row r="9" spans="1:22" s="58" customFormat="1" x14ac:dyDescent="0.2">
      <c r="A9" s="58" t="s">
        <v>78</v>
      </c>
      <c r="B9" s="14">
        <v>3387476</v>
      </c>
      <c r="C9" s="14" t="s">
        <v>113</v>
      </c>
      <c r="D9" s="48" t="str">
        <f t="shared" si="1"/>
        <v>CHECK</v>
      </c>
      <c r="E9" s="58" t="s">
        <v>81</v>
      </c>
      <c r="F9" s="8">
        <v>1674279.07</v>
      </c>
      <c r="G9" s="58">
        <v>173261.62599999999</v>
      </c>
      <c r="H9" s="58" t="s">
        <v>96</v>
      </c>
      <c r="J9" s="6">
        <f>F9/F$34</f>
        <v>4.2460001288641518E-2</v>
      </c>
      <c r="K9" s="3">
        <v>0</v>
      </c>
      <c r="L9" s="21">
        <f>ROUND((K9-J9)*F$34,-2)</f>
        <v>-1674300</v>
      </c>
      <c r="M9" s="7"/>
      <c r="N9" s="44"/>
      <c r="O9" s="23">
        <f>IF(OR(N9="",F9=""),J9,(F9+N9)/$F$34)</f>
        <v>4.2460001288641518E-2</v>
      </c>
      <c r="P9" s="15" t="s">
        <v>50</v>
      </c>
    </row>
    <row r="10" spans="1:22" s="58" customFormat="1" x14ac:dyDescent="0.2">
      <c r="A10" s="58" t="s">
        <v>44</v>
      </c>
      <c r="B10" s="14" t="s">
        <v>129</v>
      </c>
      <c r="C10" s="14" t="s">
        <v>128</v>
      </c>
      <c r="D10" s="48" t="str">
        <f t="shared" si="1"/>
        <v>OK</v>
      </c>
      <c r="E10" s="58" t="s">
        <v>130</v>
      </c>
      <c r="F10" s="8">
        <v>2636363.33</v>
      </c>
      <c r="G10" s="58">
        <v>11780.360199999999</v>
      </c>
      <c r="H10" s="58" t="s">
        <v>96</v>
      </c>
      <c r="J10" s="6">
        <f>F10/F$34</f>
        <v>6.6858621358222695E-2</v>
      </c>
      <c r="K10" s="3">
        <v>0</v>
      </c>
      <c r="L10" s="21">
        <f>ROUND((K10-J10)*F$34,-2)</f>
        <v>-2636400</v>
      </c>
      <c r="M10" s="7"/>
      <c r="N10" s="44"/>
      <c r="O10" s="23">
        <f>IF(OR(N10="",F10=""),J10,(F10+N10)/$F$34)</f>
        <v>6.6858621358222695E-2</v>
      </c>
      <c r="P10" s="15" t="s">
        <v>46</v>
      </c>
    </row>
    <row r="11" spans="1:22" s="58" customFormat="1" x14ac:dyDescent="0.2">
      <c r="A11" s="58" t="s">
        <v>78</v>
      </c>
      <c r="B11" s="14" t="s">
        <v>97</v>
      </c>
      <c r="C11" s="14" t="s">
        <v>114</v>
      </c>
      <c r="D11" s="48" t="str">
        <f t="shared" si="1"/>
        <v>OK</v>
      </c>
      <c r="E11" s="58" t="s">
        <v>82</v>
      </c>
      <c r="F11" s="8">
        <v>2026040.78</v>
      </c>
      <c r="G11" s="58">
        <v>1502997.6121</v>
      </c>
      <c r="H11" s="58" t="s">
        <v>96</v>
      </c>
      <c r="J11" s="6">
        <f>F11/F$34</f>
        <v>5.1380737937338161E-2</v>
      </c>
      <c r="K11" s="3">
        <v>0</v>
      </c>
      <c r="L11" s="21">
        <f>ROUND((K11-J11)*F$34,-2)</f>
        <v>-2026000</v>
      </c>
      <c r="M11" s="7"/>
      <c r="N11" s="44"/>
      <c r="O11" s="23">
        <f>IF(OR(N11="",F11=""),J11,(F11+N11)/$F$34)</f>
        <v>5.1380737937338161E-2</v>
      </c>
      <c r="P11" s="15" t="s">
        <v>77</v>
      </c>
    </row>
    <row r="12" spans="1:22" s="58" customFormat="1" x14ac:dyDescent="0.2">
      <c r="A12" s="58" t="s">
        <v>78</v>
      </c>
      <c r="B12" s="14" t="s">
        <v>98</v>
      </c>
      <c r="C12" s="14" t="s">
        <v>115</v>
      </c>
      <c r="D12" s="48" t="str">
        <f t="shared" si="1"/>
        <v>OK</v>
      </c>
      <c r="E12" s="58" t="s">
        <v>83</v>
      </c>
      <c r="F12" s="8">
        <v>1011385.41</v>
      </c>
      <c r="G12" s="58">
        <v>632827.81299999997</v>
      </c>
      <c r="H12" s="58" t="s">
        <v>96</v>
      </c>
      <c r="J12" s="6">
        <f>F12/F$34</f>
        <v>2.564890559846348E-2</v>
      </c>
      <c r="K12" s="3">
        <v>0</v>
      </c>
      <c r="L12" s="21">
        <f>ROUND((K12-J12)*F$34,-2)</f>
        <v>-1011400</v>
      </c>
      <c r="M12" s="7"/>
      <c r="N12" s="44"/>
      <c r="O12" s="23">
        <f>IF(OR(N12="",F12=""),J12,(F12+N12)/$F$34)</f>
        <v>2.564890559846348E-2</v>
      </c>
      <c r="P12" s="15" t="s">
        <v>42</v>
      </c>
    </row>
    <row r="13" spans="1:22" s="58" customFormat="1" x14ac:dyDescent="0.2">
      <c r="A13" s="58" t="s">
        <v>78</v>
      </c>
      <c r="B13" s="14" t="s">
        <v>135</v>
      </c>
      <c r="C13" s="14" t="s">
        <v>139</v>
      </c>
      <c r="D13" s="48" t="str">
        <f t="shared" si="1"/>
        <v>OK</v>
      </c>
      <c r="E13" s="58" t="s">
        <v>131</v>
      </c>
      <c r="F13" s="8">
        <v>766531.9</v>
      </c>
      <c r="G13" s="58">
        <v>806536.08499999996</v>
      </c>
      <c r="H13" s="58" t="s">
        <v>96</v>
      </c>
      <c r="J13" s="6">
        <f>F13/F$34</f>
        <v>1.9439379040786093E-2</v>
      </c>
      <c r="K13" s="3">
        <v>0</v>
      </c>
      <c r="L13" s="21">
        <f>ROUND((K13-J13)*F$34,-2)</f>
        <v>-766500</v>
      </c>
      <c r="M13" s="7"/>
      <c r="N13" s="44"/>
      <c r="O13" s="23">
        <f>IF(OR(N13="",F13=""),J13,(F13+N13)/$F$34)</f>
        <v>1.9439379040786093E-2</v>
      </c>
      <c r="P13" s="15" t="s">
        <v>41</v>
      </c>
    </row>
    <row r="14" spans="1:22" s="58" customFormat="1" x14ac:dyDescent="0.2">
      <c r="A14" s="58" t="s">
        <v>78</v>
      </c>
      <c r="B14" s="14" t="s">
        <v>136</v>
      </c>
      <c r="C14" s="14" t="s">
        <v>140</v>
      </c>
      <c r="D14" s="48" t="str">
        <f t="shared" si="1"/>
        <v>OK</v>
      </c>
      <c r="E14" s="58" t="s">
        <v>132</v>
      </c>
      <c r="F14" s="8">
        <v>1540383.71</v>
      </c>
      <c r="G14" s="58">
        <v>97802.14</v>
      </c>
      <c r="H14" s="58" t="s">
        <v>96</v>
      </c>
      <c r="J14" s="6">
        <f>F14/F$34</f>
        <v>3.9064392241134803E-2</v>
      </c>
      <c r="K14" s="3">
        <v>0</v>
      </c>
      <c r="L14" s="21">
        <f>ROUND((K14-J14)*F$34,-2)</f>
        <v>-1540400</v>
      </c>
      <c r="M14" s="7"/>
      <c r="N14" s="44"/>
      <c r="O14" s="23">
        <f>IF(OR(N14="",F14=""),J14,(F14+N14)/$F$34)</f>
        <v>3.9064392241134803E-2</v>
      </c>
      <c r="P14" s="15" t="s">
        <v>50</v>
      </c>
    </row>
    <row r="15" spans="1:22" s="58" customFormat="1" x14ac:dyDescent="0.2">
      <c r="A15" s="58" t="s">
        <v>78</v>
      </c>
      <c r="B15" s="14" t="s">
        <v>99</v>
      </c>
      <c r="C15" s="14" t="s">
        <v>116</v>
      </c>
      <c r="D15" s="48" t="str">
        <f t="shared" si="1"/>
        <v>OK</v>
      </c>
      <c r="E15" s="58" t="s">
        <v>84</v>
      </c>
      <c r="F15" s="8">
        <v>2339936.9700000002</v>
      </c>
      <c r="G15" s="58">
        <v>991919.01899999997</v>
      </c>
      <c r="H15" s="58" t="s">
        <v>96</v>
      </c>
      <c r="J15" s="6">
        <f>F15/F$34</f>
        <v>5.9341198574225699E-2</v>
      </c>
      <c r="K15" s="3">
        <v>0</v>
      </c>
      <c r="L15" s="21">
        <f>ROUND((K15-J15)*F$34,-2)</f>
        <v>-2339900</v>
      </c>
      <c r="M15" s="7"/>
      <c r="N15" s="44"/>
      <c r="O15" s="23">
        <f>IF(OR(N15="",F15=""),J15,(F15+N15)/$F$34)</f>
        <v>5.9341198574225699E-2</v>
      </c>
      <c r="P15" s="15" t="s">
        <v>46</v>
      </c>
    </row>
    <row r="16" spans="1:22" s="58" customFormat="1" x14ac:dyDescent="0.2">
      <c r="A16" s="58" t="s">
        <v>78</v>
      </c>
      <c r="B16" s="14" t="s">
        <v>100</v>
      </c>
      <c r="C16" s="14" t="s">
        <v>117</v>
      </c>
      <c r="D16" s="48" t="str">
        <f t="shared" si="1"/>
        <v>OK</v>
      </c>
      <c r="E16" s="58" t="s">
        <v>85</v>
      </c>
      <c r="F16" s="8">
        <v>1872941.9</v>
      </c>
      <c r="G16" s="58">
        <v>254863.63699999999</v>
      </c>
      <c r="H16" s="58" t="s">
        <v>96</v>
      </c>
      <c r="J16" s="6">
        <f>F16/F$34</f>
        <v>4.749812436438728E-2</v>
      </c>
      <c r="K16" s="3">
        <v>0</v>
      </c>
      <c r="L16" s="21">
        <f>ROUND((K16-J16)*F$34,-2)</f>
        <v>-1872900</v>
      </c>
      <c r="M16" s="7"/>
      <c r="N16" s="44"/>
      <c r="O16" s="23">
        <f>IF(OR(N16="",F16=""),J16,(F16+N16)/$F$34)</f>
        <v>4.749812436438728E-2</v>
      </c>
      <c r="P16" s="15" t="s">
        <v>42</v>
      </c>
    </row>
    <row r="17" spans="1:16" s="58" customFormat="1" x14ac:dyDescent="0.2">
      <c r="A17" s="58" t="s">
        <v>78</v>
      </c>
      <c r="B17" s="14" t="s">
        <v>137</v>
      </c>
      <c r="C17" s="14" t="s">
        <v>141</v>
      </c>
      <c r="D17" s="48" t="str">
        <f t="shared" si="1"/>
        <v>OK</v>
      </c>
      <c r="E17" s="58" t="s">
        <v>133</v>
      </c>
      <c r="F17" s="8">
        <v>1371234.75</v>
      </c>
      <c r="G17" s="58">
        <v>1481294.9709999999</v>
      </c>
      <c r="H17" s="58" t="s">
        <v>96</v>
      </c>
      <c r="J17" s="6">
        <f>F17/F$34</f>
        <v>3.477474591618112E-2</v>
      </c>
      <c r="K17" s="3">
        <v>0</v>
      </c>
      <c r="L17" s="21">
        <f>ROUND((K17-J17)*F$34,-2)</f>
        <v>-1371200</v>
      </c>
      <c r="M17" s="7"/>
      <c r="N17" s="44"/>
      <c r="O17" s="23">
        <f>IF(OR(N17="",F17=""),J17,(F17+N17)/$F$34)</f>
        <v>3.477474591618112E-2</v>
      </c>
      <c r="P17" s="15" t="s">
        <v>41</v>
      </c>
    </row>
    <row r="18" spans="1:16" s="58" customFormat="1" x14ac:dyDescent="0.2">
      <c r="A18" s="58" t="s">
        <v>78</v>
      </c>
      <c r="B18" s="14" t="s">
        <v>101</v>
      </c>
      <c r="C18" s="14" t="s">
        <v>118</v>
      </c>
      <c r="D18" s="48" t="str">
        <f t="shared" si="1"/>
        <v>OK</v>
      </c>
      <c r="E18" s="58" t="s">
        <v>86</v>
      </c>
      <c r="F18" s="8">
        <v>975324.6</v>
      </c>
      <c r="G18" s="58">
        <v>637300.44200000004</v>
      </c>
      <c r="H18" s="58" t="s">
        <v>96</v>
      </c>
      <c r="J18" s="6">
        <f>F18/F$34</f>
        <v>2.4734397338457899E-2</v>
      </c>
      <c r="K18" s="3">
        <v>0</v>
      </c>
      <c r="L18" s="21">
        <f>ROUND((K18-J18)*F$34,-2)</f>
        <v>-975300</v>
      </c>
      <c r="M18" s="7"/>
      <c r="N18" s="44"/>
      <c r="O18" s="23">
        <f>IF(OR(N18="",F18=""),J18,(F18+N18)/$F$34)</f>
        <v>2.4734397338457899E-2</v>
      </c>
      <c r="P18" s="15" t="s">
        <v>42</v>
      </c>
    </row>
    <row r="19" spans="1:16" s="58" customFormat="1" x14ac:dyDescent="0.2">
      <c r="A19" s="58" t="s">
        <v>44</v>
      </c>
      <c r="B19" s="14" t="s">
        <v>102</v>
      </c>
      <c r="C19" s="14" t="s">
        <v>119</v>
      </c>
      <c r="D19" s="48" t="str">
        <f t="shared" si="1"/>
        <v>OK</v>
      </c>
      <c r="E19" s="58" t="s">
        <v>87</v>
      </c>
      <c r="F19" s="8">
        <v>983311.44</v>
      </c>
      <c r="G19" s="58">
        <v>586351.48369999998</v>
      </c>
      <c r="H19" s="58" t="s">
        <v>96</v>
      </c>
      <c r="J19" s="6">
        <f>F19/F$34</f>
        <v>2.4936944955977942E-2</v>
      </c>
      <c r="K19" s="3">
        <v>0</v>
      </c>
      <c r="L19" s="21">
        <f>ROUND((K19-J19)*F$34,-2)</f>
        <v>-983300</v>
      </c>
      <c r="M19" s="7"/>
      <c r="N19" s="44"/>
      <c r="O19" s="23">
        <f>IF(OR(N19="",F19=""),J19,(F19+N19)/$F$34)</f>
        <v>2.4936944955977942E-2</v>
      </c>
      <c r="P19" s="15" t="s">
        <v>42</v>
      </c>
    </row>
    <row r="20" spans="1:16" s="58" customFormat="1" x14ac:dyDescent="0.2">
      <c r="A20" s="58" t="s">
        <v>78</v>
      </c>
      <c r="B20" s="14" t="s">
        <v>103</v>
      </c>
      <c r="C20" s="14" t="s">
        <v>120</v>
      </c>
      <c r="D20" s="48" t="str">
        <f t="shared" si="1"/>
        <v>OK</v>
      </c>
      <c r="E20" s="58" t="s">
        <v>88</v>
      </c>
      <c r="F20" s="8">
        <v>259768.59</v>
      </c>
      <c r="G20" s="58">
        <v>257120.25320000001</v>
      </c>
      <c r="H20" s="58" t="s">
        <v>96</v>
      </c>
      <c r="J20" s="6">
        <f>F20/F$34</f>
        <v>6.5877755171057529E-3</v>
      </c>
      <c r="K20" s="3">
        <v>0</v>
      </c>
      <c r="L20" s="21">
        <f>ROUND((K20-J20)*F$34,-2)</f>
        <v>-259800</v>
      </c>
      <c r="M20" s="7"/>
      <c r="N20" s="44"/>
      <c r="O20" s="23">
        <f>IF(OR(N20="",F20=""),J20,(F20+N20)/$F$34)</f>
        <v>6.5877755171057529E-3</v>
      </c>
      <c r="P20" s="15" t="s">
        <v>42</v>
      </c>
    </row>
    <row r="21" spans="1:16" s="58" customFormat="1" x14ac:dyDescent="0.2">
      <c r="A21" s="58" t="s">
        <v>78</v>
      </c>
      <c r="B21" s="14" t="s">
        <v>104</v>
      </c>
      <c r="C21" s="14" t="s">
        <v>121</v>
      </c>
      <c r="D21" s="48" t="str">
        <f t="shared" si="1"/>
        <v>OK</v>
      </c>
      <c r="E21" s="58" t="s">
        <v>89</v>
      </c>
      <c r="F21" s="8">
        <v>4204316.1900000004</v>
      </c>
      <c r="G21" s="58">
        <v>1268538.21</v>
      </c>
      <c r="H21" s="58" t="s">
        <v>96</v>
      </c>
      <c r="J21" s="6">
        <f>F21/F$34</f>
        <v>0.10662217192099069</v>
      </c>
      <c r="K21" s="3">
        <v>0</v>
      </c>
      <c r="L21" s="21">
        <f>ROUND((K21-J21)*F$34,-2)</f>
        <v>-4204300</v>
      </c>
      <c r="M21" s="7"/>
      <c r="N21" s="44"/>
      <c r="O21" s="23">
        <f>IF(OR(N21="",F21=""),J21,(F21+N21)/$F$34)</f>
        <v>0.10662217192099069</v>
      </c>
      <c r="P21" s="15" t="s">
        <v>49</v>
      </c>
    </row>
    <row r="22" spans="1:16" s="58" customFormat="1" x14ac:dyDescent="0.2">
      <c r="A22" s="58" t="s">
        <v>78</v>
      </c>
      <c r="B22" s="14" t="s">
        <v>105</v>
      </c>
      <c r="C22" s="14" t="s">
        <v>122</v>
      </c>
      <c r="D22" s="48" t="str">
        <f t="shared" si="1"/>
        <v>OK</v>
      </c>
      <c r="E22" s="58" t="s">
        <v>90</v>
      </c>
      <c r="F22" s="8">
        <v>1562831.43</v>
      </c>
      <c r="G22" s="58">
        <v>1486853.2309999999</v>
      </c>
      <c r="H22" s="58" t="s">
        <v>96</v>
      </c>
      <c r="J22" s="6">
        <f>F22/F$34</f>
        <v>3.9633670229019501E-2</v>
      </c>
      <c r="K22" s="3">
        <v>0</v>
      </c>
      <c r="L22" s="21">
        <f>ROUND((K22-J22)*F$34,-2)</f>
        <v>-1562800</v>
      </c>
      <c r="M22" s="7"/>
      <c r="N22" s="44"/>
      <c r="O22" s="23">
        <f>IF(OR(N22="",F22=""),J22,(F22+N22)/$F$34)</f>
        <v>3.9633670229019501E-2</v>
      </c>
      <c r="P22" s="15" t="s">
        <v>42</v>
      </c>
    </row>
    <row r="23" spans="1:16" s="58" customFormat="1" x14ac:dyDescent="0.2">
      <c r="A23" s="58" t="s">
        <v>78</v>
      </c>
      <c r="B23" s="14" t="s">
        <v>106</v>
      </c>
      <c r="C23" s="14" t="s">
        <v>123</v>
      </c>
      <c r="D23" s="48" t="str">
        <f t="shared" si="1"/>
        <v>OK</v>
      </c>
      <c r="E23" s="58" t="s">
        <v>91</v>
      </c>
      <c r="F23" s="8">
        <v>2339924.75</v>
      </c>
      <c r="G23" s="58">
        <v>4136335.07</v>
      </c>
      <c r="H23" s="58" t="s">
        <v>96</v>
      </c>
      <c r="J23" s="6">
        <f>F23/F$34</f>
        <v>5.9340888672952334E-2</v>
      </c>
      <c r="K23" s="3">
        <v>0</v>
      </c>
      <c r="L23" s="21">
        <f>ROUND((K23-J23)*F$34,-2)</f>
        <v>-2339900</v>
      </c>
      <c r="M23" s="7"/>
      <c r="N23" s="44"/>
      <c r="O23" s="23">
        <f>IF(OR(N23="",F23=""),J23,(F23+N23)/$F$34)</f>
        <v>5.9340888672952334E-2</v>
      </c>
      <c r="P23" s="15" t="s">
        <v>77</v>
      </c>
    </row>
    <row r="24" spans="1:16" s="58" customFormat="1" x14ac:dyDescent="0.2">
      <c r="A24" s="58" t="s">
        <v>78</v>
      </c>
      <c r="B24" s="14" t="s">
        <v>138</v>
      </c>
      <c r="C24" s="14" t="s">
        <v>142</v>
      </c>
      <c r="D24" s="48" t="str">
        <f t="shared" si="1"/>
        <v>OK</v>
      </c>
      <c r="E24" s="58" t="s">
        <v>134</v>
      </c>
      <c r="F24" s="8">
        <v>1155696.71</v>
      </c>
      <c r="G24" s="58">
        <v>1208255.8421</v>
      </c>
      <c r="H24" s="58" t="s">
        <v>96</v>
      </c>
      <c r="J24" s="6">
        <f>F24/F$34</f>
        <v>2.9308664651633468E-2</v>
      </c>
      <c r="K24" s="3">
        <v>0</v>
      </c>
      <c r="L24" s="21">
        <f>ROUND((K24-J24)*F$34,-2)</f>
        <v>-1155700</v>
      </c>
      <c r="M24" s="7"/>
      <c r="N24" s="44"/>
      <c r="O24" s="23">
        <f>IF(OR(N24="",F24=""),J24,(F24+N24)/$F$34)</f>
        <v>2.9308664651633468E-2</v>
      </c>
      <c r="P24" s="15" t="s">
        <v>77</v>
      </c>
    </row>
    <row r="25" spans="1:16" s="58" customFormat="1" x14ac:dyDescent="0.2">
      <c r="A25" s="58" t="s">
        <v>78</v>
      </c>
      <c r="B25" s="14" t="s">
        <v>107</v>
      </c>
      <c r="C25" s="14" t="s">
        <v>124</v>
      </c>
      <c r="D25" s="48" t="str">
        <f t="shared" si="1"/>
        <v>OK</v>
      </c>
      <c r="E25" s="58" t="s">
        <v>92</v>
      </c>
      <c r="F25" s="8">
        <v>2239398.92</v>
      </c>
      <c r="G25" s="58">
        <v>2021118.16</v>
      </c>
      <c r="H25" s="58" t="s">
        <v>96</v>
      </c>
      <c r="J25" s="6">
        <f>F25/F$34</f>
        <v>5.6791536568024117E-2</v>
      </c>
      <c r="K25" s="3">
        <v>0</v>
      </c>
      <c r="L25" s="21">
        <f>ROUND((K25-J25)*F$34,-2)</f>
        <v>-2239400</v>
      </c>
      <c r="M25" s="7"/>
      <c r="N25" s="44"/>
      <c r="O25" s="23">
        <f>IF(OR(N25="",F25=""),J25,(F25+N25)/$F$34)</f>
        <v>5.6791536568024117E-2</v>
      </c>
      <c r="P25" s="15" t="s">
        <v>46</v>
      </c>
    </row>
    <row r="26" spans="1:16" s="58" customFormat="1" x14ac:dyDescent="0.2">
      <c r="A26" s="58" t="s">
        <v>78</v>
      </c>
      <c r="B26" s="14" t="s">
        <v>108</v>
      </c>
      <c r="C26" s="14" t="s">
        <v>125</v>
      </c>
      <c r="D26" s="48" t="str">
        <f t="shared" si="1"/>
        <v>OK</v>
      </c>
      <c r="E26" s="58" t="s">
        <v>93</v>
      </c>
      <c r="F26" s="8">
        <v>216759.28</v>
      </c>
      <c r="G26" s="58">
        <v>120361.63959999999</v>
      </c>
      <c r="H26" s="58" t="s">
        <v>96</v>
      </c>
      <c r="J26" s="6">
        <f>F26/F$34</f>
        <v>5.4970521181543566E-3</v>
      </c>
      <c r="K26" s="3">
        <v>0</v>
      </c>
      <c r="L26" s="21">
        <f>ROUND((K26-J26)*F$34,-2)</f>
        <v>-216800</v>
      </c>
      <c r="M26" s="7"/>
      <c r="N26" s="44"/>
      <c r="O26" s="23">
        <f>IF(OR(N26="",F26=""),J26,(F26+N26)/$F$34)</f>
        <v>5.4970521181543566E-3</v>
      </c>
      <c r="P26" s="15" t="s">
        <v>50</v>
      </c>
    </row>
    <row r="27" spans="1:16" s="58" customFormat="1" x14ac:dyDescent="0.2">
      <c r="A27" s="58" t="s">
        <v>44</v>
      </c>
      <c r="B27" s="14" t="s">
        <v>109</v>
      </c>
      <c r="C27" s="14" t="s">
        <v>126</v>
      </c>
      <c r="D27" s="48" t="str">
        <f t="shared" si="1"/>
        <v>OK</v>
      </c>
      <c r="E27" s="58" t="s">
        <v>94</v>
      </c>
      <c r="F27" s="8">
        <v>1530633.22</v>
      </c>
      <c r="G27" s="58">
        <v>720433.59600000002</v>
      </c>
      <c r="H27" s="58" t="s">
        <v>96</v>
      </c>
      <c r="J27" s="6">
        <f>F27/F$34</f>
        <v>3.8817118160377834E-2</v>
      </c>
      <c r="K27" s="3">
        <v>0</v>
      </c>
      <c r="L27" s="21">
        <f>ROUND((K27-J27)*F$34,-2)</f>
        <v>-1530600</v>
      </c>
      <c r="M27" s="7"/>
      <c r="N27" s="44"/>
      <c r="O27" s="23">
        <f>IF(OR(N27="",F27=""),J27,(F27+N27)/$F$34)</f>
        <v>3.8817118160377834E-2</v>
      </c>
      <c r="P27" s="15" t="s">
        <v>45</v>
      </c>
    </row>
    <row r="28" spans="1:16" s="58" customFormat="1" x14ac:dyDescent="0.2">
      <c r="A28" s="58" t="s">
        <v>78</v>
      </c>
      <c r="B28" s="14" t="s">
        <v>110</v>
      </c>
      <c r="C28" s="14" t="s">
        <v>127</v>
      </c>
      <c r="D28" s="48" t="str">
        <f t="shared" si="1"/>
        <v>OK</v>
      </c>
      <c r="E28" s="58" t="s">
        <v>95</v>
      </c>
      <c r="F28" s="8">
        <v>848151.98</v>
      </c>
      <c r="G28" s="58">
        <v>57483.123</v>
      </c>
      <c r="H28" s="58" t="s">
        <v>96</v>
      </c>
      <c r="J28" s="6">
        <f>F28/F$34</f>
        <v>2.1509278117992511E-2</v>
      </c>
      <c r="K28" s="3">
        <v>0</v>
      </c>
      <c r="L28" s="21">
        <f>ROUND((K28-J28)*F$34,-2)</f>
        <v>-848200</v>
      </c>
      <c r="M28" s="7"/>
      <c r="N28" s="44"/>
      <c r="O28" s="23">
        <f>IF(OR(N28="",F28=""),J28,(F28+N28)/$F$34)</f>
        <v>2.1509278117992511E-2</v>
      </c>
      <c r="P28" s="15" t="s">
        <v>46</v>
      </c>
    </row>
    <row r="29" spans="1:16" x14ac:dyDescent="0.2">
      <c r="D29" s="48"/>
      <c r="E29" s="16"/>
      <c r="K29" s="4"/>
      <c r="L29" s="24"/>
      <c r="M29" s="17"/>
      <c r="N29" s="24"/>
      <c r="O29" s="15"/>
    </row>
    <row r="30" spans="1:16" ht="13.5" customHeight="1" thickBot="1" x14ac:dyDescent="0.25">
      <c r="E30" s="16"/>
      <c r="K30" s="4"/>
      <c r="L30" s="24"/>
      <c r="M30" s="17"/>
      <c r="N30" s="24"/>
      <c r="O30" s="15"/>
    </row>
    <row r="31" spans="1:16" ht="13.5" customHeight="1" thickBot="1" x14ac:dyDescent="0.25">
      <c r="B31" s="36" t="s">
        <v>52</v>
      </c>
      <c r="C31" s="47"/>
      <c r="D31" s="47"/>
      <c r="E31" s="37"/>
      <c r="F31" s="18">
        <v>0</v>
      </c>
      <c r="J31" s="38" t="s">
        <v>53</v>
      </c>
      <c r="K31" s="59" t="s">
        <v>35</v>
      </c>
      <c r="L31" s="60"/>
      <c r="M31" s="39" t="s">
        <v>54</v>
      </c>
    </row>
    <row r="32" spans="1:16" x14ac:dyDescent="0.2">
      <c r="A32" s="5" t="s">
        <v>44</v>
      </c>
      <c r="B32" s="63" t="s">
        <v>55</v>
      </c>
      <c r="C32" s="64"/>
      <c r="D32" s="64"/>
      <c r="E32" s="64"/>
      <c r="F32" s="35">
        <f>VALU_JC+VALU_XA-VALU_BV+$F$31</f>
        <v>4471391.18</v>
      </c>
      <c r="G32" s="33">
        <v>4235365.3</v>
      </c>
      <c r="H32" s="34">
        <v>39431912.840000004</v>
      </c>
      <c r="I32" s="34">
        <v>39195886.960000001</v>
      </c>
      <c r="J32" s="40">
        <f>F32/F34</f>
        <v>0.11339523898176682</v>
      </c>
      <c r="K32" s="41">
        <v>0</v>
      </c>
      <c r="L32" s="42">
        <f>F32-SUM(L7:L30)</f>
        <v>39431891.18</v>
      </c>
      <c r="M32" s="43">
        <f>F32-SUM(N7:N31)</f>
        <v>4471391.18</v>
      </c>
      <c r="O32" s="23">
        <f>$M$32/$F$34</f>
        <v>0.11339523898176682</v>
      </c>
      <c r="P32" s="5" t="s">
        <v>56</v>
      </c>
    </row>
    <row r="33" spans="2:14" x14ac:dyDescent="0.2">
      <c r="F33" s="27"/>
      <c r="G33" s="27"/>
      <c r="J33" s="23"/>
    </row>
    <row r="34" spans="2:14" x14ac:dyDescent="0.2">
      <c r="B34" s="65" t="s">
        <v>57</v>
      </c>
      <c r="C34" s="62"/>
      <c r="D34" s="62"/>
      <c r="E34" s="62"/>
      <c r="F34" s="28">
        <f>SUM(SUMIF(A:A,{"S","MF"},F:F))</f>
        <v>39431912.840000004</v>
      </c>
      <c r="I34" s="29">
        <f>MAX(J7:J32)</f>
        <v>0.11339523898176682</v>
      </c>
      <c r="J34" s="23"/>
      <c r="K34" s="6">
        <f>SUM(K7:K33)</f>
        <v>0</v>
      </c>
    </row>
    <row r="36" spans="2:14" x14ac:dyDescent="0.2">
      <c r="B36" s="61" t="str">
        <f>IF(I34&gt;0.2,"One or more of the holdings is currently over 20% of the portfolio value, please record the breach and report it to a fund manager",IF(I34&gt;0.15,"One or more of the holdings is over 15% of the portfolio value, please inform a fund manager",""))</f>
        <v/>
      </c>
      <c r="C36" s="62"/>
      <c r="D36" s="62"/>
      <c r="E36" s="62"/>
      <c r="F36" s="62"/>
      <c r="G36" s="62"/>
      <c r="H36" s="62"/>
      <c r="I36" s="62"/>
      <c r="J36" s="62"/>
      <c r="K36" s="11" t="s">
        <v>58</v>
      </c>
      <c r="L36" s="25">
        <f>SUM(L7:L29)</f>
        <v>-34960500</v>
      </c>
      <c r="M36" s="25">
        <f>SUM(N7:N29)</f>
        <v>0</v>
      </c>
      <c r="N36" s="25"/>
    </row>
    <row r="37" spans="2:14" x14ac:dyDescent="0.2">
      <c r="B37" s="62"/>
      <c r="C37" s="62"/>
      <c r="D37" s="62"/>
      <c r="E37" s="62"/>
      <c r="F37" s="62"/>
      <c r="G37" s="62"/>
      <c r="H37" s="62"/>
      <c r="I37" s="62"/>
      <c r="J37" s="62"/>
      <c r="K37" s="6" t="s">
        <v>59</v>
      </c>
      <c r="L37" s="23">
        <f>($F$32-L36)/$F$34</f>
        <v>0.99999945069872487</v>
      </c>
      <c r="M37" s="6">
        <f>($F$32-M36)/$F$34</f>
        <v>0.11339523898176682</v>
      </c>
      <c r="N37" s="23"/>
    </row>
    <row r="38" spans="2:14" x14ac:dyDescent="0.2">
      <c r="B38" s="62"/>
      <c r="C38" s="62"/>
      <c r="D38" s="62"/>
      <c r="E38" s="62"/>
      <c r="F38" s="62"/>
      <c r="G38" s="62"/>
      <c r="H38" s="62"/>
      <c r="I38" s="62"/>
      <c r="J38" s="62"/>
    </row>
    <row r="39" spans="2:14" ht="32.25" customHeight="1" x14ac:dyDescent="0.2">
      <c r="E39" s="19" t="s">
        <v>60</v>
      </c>
      <c r="F39" s="12" t="s">
        <v>61</v>
      </c>
      <c r="G39" s="19"/>
      <c r="H39" s="19"/>
      <c r="I39" s="19"/>
      <c r="J39" s="20" t="s">
        <v>62</v>
      </c>
      <c r="K39" s="20" t="s">
        <v>63</v>
      </c>
      <c r="L39" s="22" t="s">
        <v>64</v>
      </c>
      <c r="M39" s="13"/>
      <c r="N39" s="22"/>
    </row>
    <row r="40" spans="2:14" x14ac:dyDescent="0.2">
      <c r="E40" s="32" t="s">
        <v>43</v>
      </c>
      <c r="F40" s="27">
        <f>SUMIF(P:P,E40,L:L)</f>
        <v>0</v>
      </c>
      <c r="G40" s="27">
        <f>SUMIF(P:P,F40,G:G)+SUMIF(P:P,F40,O:O)</f>
        <v>0</v>
      </c>
      <c r="H40" s="27">
        <f>SUMIF(Q:Q,G40,H:H)+SUMIF(Q:Q,G40,P:P)</f>
        <v>0</v>
      </c>
      <c r="I40" s="27">
        <f>SUMIF(R:R,H40,I:I)+SUMIF(R:R,H40,Q:Q)</f>
        <v>0</v>
      </c>
      <c r="J40" s="29">
        <f>SUMIF(P:P,E40,K:K)</f>
        <v>0</v>
      </c>
      <c r="K40" s="29">
        <f>SUMIF(P:P,E40,$J:$J)</f>
        <v>0</v>
      </c>
      <c r="L40" s="23">
        <f>SUMIF(P:P,E40,O:O)</f>
        <v>0</v>
      </c>
    </row>
    <row r="41" spans="2:14" x14ac:dyDescent="0.2">
      <c r="E41" s="32" t="s">
        <v>48</v>
      </c>
      <c r="F41" s="27">
        <f>SUMIF(P:P,E41,L:L)</f>
        <v>0</v>
      </c>
      <c r="J41" s="29">
        <f>SUMIF(P:P,E41,K:K)</f>
        <v>0</v>
      </c>
      <c r="K41" s="29">
        <f>SUMIF(P:P,E41,$J:$J)</f>
        <v>0</v>
      </c>
      <c r="L41" s="23">
        <f>SUMIF(P:P,E41,O:O)</f>
        <v>0</v>
      </c>
    </row>
    <row r="42" spans="2:14" x14ac:dyDescent="0.2">
      <c r="E42" s="46" t="s">
        <v>51</v>
      </c>
      <c r="F42" s="27">
        <f>SUMIF(P:P,E42,L:L)</f>
        <v>0</v>
      </c>
      <c r="J42" s="29">
        <f>SUMIF(P:P,E42,K:K)</f>
        <v>0</v>
      </c>
      <c r="K42" s="29">
        <f>SUMIF(P:P,E42,$J:$J)</f>
        <v>0</v>
      </c>
      <c r="L42" s="23">
        <f>SUMIF(P:P,E42,O:O)</f>
        <v>0</v>
      </c>
    </row>
    <row r="43" spans="2:14" x14ac:dyDescent="0.2">
      <c r="E43" s="15" t="s">
        <v>47</v>
      </c>
      <c r="F43" s="27">
        <f>SUMIF(P:P,E43,L:L)</f>
        <v>0</v>
      </c>
      <c r="J43" s="29">
        <f>SUMIF(P:P,E43,K:K)</f>
        <v>0</v>
      </c>
      <c r="K43" s="29">
        <f>SUMIF(P:P,E43,$J:$J)</f>
        <v>0</v>
      </c>
      <c r="L43" s="23">
        <f>SUMIF(P:P,E43,O:O)</f>
        <v>0</v>
      </c>
    </row>
    <row r="44" spans="2:14" x14ac:dyDescent="0.2">
      <c r="E44" s="9" t="s">
        <v>65</v>
      </c>
      <c r="F44" s="28">
        <f>SUM(F40:F42)</f>
        <v>0</v>
      </c>
      <c r="G44" s="30"/>
      <c r="H44" s="30"/>
      <c r="I44" s="30"/>
      <c r="J44" s="26">
        <f>SUM(J40:J43)</f>
        <v>0</v>
      </c>
      <c r="K44" s="26">
        <f>SUM(K40:K43)</f>
        <v>0</v>
      </c>
      <c r="L44" s="26">
        <f>SUM(L40:L43)</f>
        <v>0</v>
      </c>
    </row>
    <row r="45" spans="2:14" x14ac:dyDescent="0.2">
      <c r="F45" s="27"/>
      <c r="J45" s="23"/>
      <c r="K45" s="23"/>
    </row>
    <row r="46" spans="2:14" x14ac:dyDescent="0.2">
      <c r="E46" s="9" t="s">
        <v>66</v>
      </c>
      <c r="F46" s="27"/>
      <c r="J46" s="23"/>
      <c r="K46" s="23"/>
    </row>
    <row r="47" spans="2:14" x14ac:dyDescent="0.2">
      <c r="E47" s="32" t="s">
        <v>46</v>
      </c>
      <c r="F47" s="27">
        <f>SUMIF(P:P,E47,L:L)</f>
        <v>-8063900</v>
      </c>
      <c r="J47" s="29">
        <f>SUMIF(P:P,E47,K:K)</f>
        <v>0</v>
      </c>
      <c r="K47" s="29">
        <f>SUMIF(P:P,E47,$J:$J)</f>
        <v>0.20450063461846502</v>
      </c>
      <c r="L47" s="23">
        <f>SUMIF(P:P,E47,O:O)</f>
        <v>0.20450063461846502</v>
      </c>
    </row>
    <row r="48" spans="2:14" x14ac:dyDescent="0.2">
      <c r="E48" s="32" t="s">
        <v>67</v>
      </c>
      <c r="F48" s="27">
        <f>SUMIF(P:P,E48,L:L)</f>
        <v>-1090100</v>
      </c>
      <c r="J48" s="29">
        <f>SUMIF(P:P,E48,K:K)</f>
        <v>0</v>
      </c>
      <c r="K48" s="29">
        <f>SUMIF(P:P,E48,$J:$J)</f>
        <v>2.7643956924510184E-2</v>
      </c>
      <c r="L48" s="23">
        <f>SUMIF(P:P,E48,O:O)</f>
        <v>2.7643956924510184E-2</v>
      </c>
    </row>
    <row r="49" spans="5:12" x14ac:dyDescent="0.2">
      <c r="E49" s="32" t="s">
        <v>50</v>
      </c>
      <c r="F49" s="27">
        <f>SUMIF(P:P,E49,L:L)</f>
        <v>-3431500</v>
      </c>
      <c r="J49" s="29">
        <f>SUMIF(P:P,E49,K:K)</f>
        <v>0</v>
      </c>
      <c r="K49" s="29">
        <f>SUMIF(P:P,E49,$J:$J)</f>
        <v>8.7021445647930684E-2</v>
      </c>
      <c r="L49" s="23">
        <f>SUMIF(P:P,E49,O:O)</f>
        <v>8.7021445647930684E-2</v>
      </c>
    </row>
    <row r="50" spans="5:12" x14ac:dyDescent="0.2">
      <c r="E50" s="32" t="s">
        <v>45</v>
      </c>
      <c r="F50" s="27">
        <f>SUMIF(P:P,E50,L:L)</f>
        <v>-1530600</v>
      </c>
      <c r="J50" s="29">
        <f>SUMIF(P:P,E50,K:K)</f>
        <v>0</v>
      </c>
      <c r="K50" s="29">
        <f>SUMIF(P:P,E50,$J:$J)</f>
        <v>3.8817118160377834E-2</v>
      </c>
      <c r="L50" s="23">
        <f>SUMIF(P:P,E50,O:O)</f>
        <v>3.8817118160377834E-2</v>
      </c>
    </row>
    <row r="51" spans="5:12" x14ac:dyDescent="0.2">
      <c r="E51" s="32" t="s">
        <v>49</v>
      </c>
      <c r="F51" s="27">
        <f>SUMIF(P:P,E51,L:L)</f>
        <v>-4204300</v>
      </c>
      <c r="J51" s="29">
        <f>SUMIF(P:P,E51,K:K)</f>
        <v>0</v>
      </c>
      <c r="K51" s="29">
        <f>SUMIF(P:P,E51,$J:$J)</f>
        <v>0.10662217192099069</v>
      </c>
      <c r="L51" s="23">
        <f>SUMIF(P:P,E51,O:O)</f>
        <v>0.10662217192099069</v>
      </c>
    </row>
    <row r="52" spans="5:12" x14ac:dyDescent="0.2">
      <c r="E52" s="32" t="s">
        <v>42</v>
      </c>
      <c r="F52" s="27">
        <f>SUMIF(P:P,E52,L:L)</f>
        <v>-6665500</v>
      </c>
      <c r="J52" s="29">
        <f>SUMIF(P:P,E52,K:K)</f>
        <v>0</v>
      </c>
      <c r="K52" s="29">
        <f>SUMIF(P:P,E52,$J:$J)</f>
        <v>0.16903981800341186</v>
      </c>
      <c r="L52" s="23">
        <f>SUMIF(P:P,E52,O:O)</f>
        <v>0.16903981800341186</v>
      </c>
    </row>
    <row r="53" spans="5:12" x14ac:dyDescent="0.2">
      <c r="E53" s="32" t="s">
        <v>41</v>
      </c>
      <c r="F53" s="27">
        <f>SUMIF(P:P,E53,L:L)</f>
        <v>-2137700</v>
      </c>
      <c r="J53" s="29">
        <f>SUMIF(P:P,E53,K:K)</f>
        <v>0</v>
      </c>
      <c r="K53" s="29">
        <f>SUMIF(P:P,E53,$J:$J)</f>
        <v>5.4214124956967216E-2</v>
      </c>
      <c r="L53" s="23">
        <f>SUMIF(P:P,E53,O:O)</f>
        <v>5.4214124956967216E-2</v>
      </c>
    </row>
    <row r="54" spans="5:12" x14ac:dyDescent="0.2">
      <c r="E54" s="46" t="s">
        <v>68</v>
      </c>
      <c r="F54" s="27">
        <f>SUMIF(P:P,E54,L:L)</f>
        <v>0</v>
      </c>
      <c r="J54" s="29">
        <f>SUMIF(P:P,E54,K:K)</f>
        <v>0</v>
      </c>
      <c r="K54" s="29">
        <f>SUMIF(P:P,E54,$J:$J)</f>
        <v>0</v>
      </c>
      <c r="L54" s="23">
        <f>SUMIF(P:P,E54,O:O)</f>
        <v>0</v>
      </c>
    </row>
    <row r="55" spans="5:12" x14ac:dyDescent="0.2">
      <c r="E55" s="46" t="s">
        <v>69</v>
      </c>
      <c r="F55" s="27">
        <f>SUMIF(P:P,E55,L:L)</f>
        <v>0</v>
      </c>
      <c r="J55" s="29">
        <f>SUMIF(P:P,E55,K:K)</f>
        <v>0</v>
      </c>
      <c r="K55" s="29">
        <f>SUMIF(P:P,E55,$J:$J)</f>
        <v>0</v>
      </c>
      <c r="L55" s="23">
        <f>SUMIF(P:P,E55,O:O)</f>
        <v>0</v>
      </c>
    </row>
    <row r="56" spans="5:12" x14ac:dyDescent="0.2">
      <c r="E56" s="32" t="s">
        <v>70</v>
      </c>
      <c r="F56" s="27">
        <f>SUMIF(P:P,E56,L:L)</f>
        <v>-2315300</v>
      </c>
      <c r="J56" s="29">
        <f>SUMIF(P:P,E56,K:K)</f>
        <v>0</v>
      </c>
      <c r="K56" s="29">
        <f>SUMIF(P:P,E56,$J:$J)</f>
        <v>5.8715199523655663E-2</v>
      </c>
      <c r="L56" s="23">
        <f>SUMIF(P:P,E56,O:O)</f>
        <v>5.8715199523655663E-2</v>
      </c>
    </row>
    <row r="57" spans="5:12" x14ac:dyDescent="0.2">
      <c r="E57" s="9" t="s">
        <v>71</v>
      </c>
      <c r="F57" s="28">
        <f>SUM(F47:F56)</f>
        <v>-29438900</v>
      </c>
      <c r="G57" s="30"/>
      <c r="H57" s="30"/>
      <c r="I57" s="30"/>
      <c r="J57" s="31">
        <f>SUM(J47:J56)</f>
        <v>0</v>
      </c>
      <c r="K57" s="26">
        <f>SUM(K47:K56)</f>
        <v>0.74657446975630903</v>
      </c>
      <c r="L57" s="26">
        <f>SUM(L47:L56)</f>
        <v>0.74657446975630903</v>
      </c>
    </row>
    <row r="58" spans="5:12" x14ac:dyDescent="0.2">
      <c r="F58" s="27"/>
      <c r="J58" s="23"/>
      <c r="K58" s="23"/>
    </row>
    <row r="59" spans="5:12" x14ac:dyDescent="0.2">
      <c r="E59" s="5" t="s">
        <v>56</v>
      </c>
      <c r="F59" s="55">
        <f>(L59-J59)*F34</f>
        <v>4471391.18</v>
      </c>
      <c r="J59" s="29">
        <f>SUMIF(P:P,E59,K:K)</f>
        <v>0</v>
      </c>
      <c r="K59" s="29">
        <f>SUMIF(P:P,E59,J:J)</f>
        <v>0.11339523898176682</v>
      </c>
      <c r="L59" s="23">
        <f>SUMIF(P:P,E59,O:O)</f>
        <v>0.11339523898176682</v>
      </c>
    </row>
    <row r="60" spans="5:12" x14ac:dyDescent="0.2">
      <c r="F60" s="23">
        <f>SUM(F44+F57+F59)</f>
        <v>-24967508.82</v>
      </c>
      <c r="J60" s="23">
        <f>SUM(J44+J57+J59)</f>
        <v>0</v>
      </c>
      <c r="K60" s="23">
        <f>SUM(K44+K57+K59)</f>
        <v>0.85996970873807588</v>
      </c>
      <c r="L60" s="23">
        <f>SUM(L44+L57+L59)</f>
        <v>0.85996970873807588</v>
      </c>
    </row>
  </sheetData>
  <mergeCells count="7">
    <mergeCell ref="K31:L31"/>
    <mergeCell ref="B36:J38"/>
    <mergeCell ref="B32:E32"/>
    <mergeCell ref="B34:E34"/>
    <mergeCell ref="B1:J1"/>
    <mergeCell ref="B2:J2"/>
    <mergeCell ref="B3:J3"/>
  </mergeCells>
  <conditionalFormatting sqref="B36:J38">
    <cfRule type="expression" dxfId="18" priority="165" stopIfTrue="1">
      <formula>$I34&gt;0.2</formula>
    </cfRule>
  </conditionalFormatting>
  <conditionalFormatting sqref="K29:K31">
    <cfRule type="expression" dxfId="17" priority="90" stopIfTrue="1">
      <formula>OR(J29-K29&gt;=0.005,J29-K29&lt;=-0.005)</formula>
    </cfRule>
  </conditionalFormatting>
  <conditionalFormatting sqref="K7">
    <cfRule type="expression" dxfId="16" priority="74" stopIfTrue="1">
      <formula>OR(J7-K7&gt;=0.005,J7-K7&lt;=-0.005)</formula>
    </cfRule>
  </conditionalFormatting>
  <conditionalFormatting sqref="O7">
    <cfRule type="expression" dxfId="15" priority="68" stopIfTrue="1">
      <formula>OR(O7-K7&gt;=0.005,O7-K7&lt;=-0.005)</formula>
    </cfRule>
  </conditionalFormatting>
  <conditionalFormatting sqref="E56 L40:L43">
    <cfRule type="expression" dxfId="14" priority="61" stopIfTrue="1">
      <formula>OR($L40-$J40&gt;=0.005,$L40-$J40&lt;=-0.005)</formula>
    </cfRule>
  </conditionalFormatting>
  <conditionalFormatting sqref="E40:E41">
    <cfRule type="expression" dxfId="13" priority="59" stopIfTrue="1">
      <formula>OR($L40-$J40&gt;=0.005,$L40-$J40&lt;=-0.005)</formula>
    </cfRule>
  </conditionalFormatting>
  <conditionalFormatting sqref="E47:E53">
    <cfRule type="expression" dxfId="12" priority="57" stopIfTrue="1">
      <formula>OR($L47-$J47&gt;=0.005,$L47-$J47&lt;=-0.005)</formula>
    </cfRule>
  </conditionalFormatting>
  <conditionalFormatting sqref="U5">
    <cfRule type="expression" dxfId="11" priority="47" stopIfTrue="1">
      <formula>$M5&lt;&gt;""</formula>
    </cfRule>
  </conditionalFormatting>
  <conditionalFormatting sqref="B30:D30 B29:C29">
    <cfRule type="expression" dxfId="10" priority="46" stopIfTrue="1">
      <formula>AND(OR($B29=$V$5,$B29=$V$6),$M29&lt;&gt;"")</formula>
    </cfRule>
  </conditionalFormatting>
  <conditionalFormatting sqref="F30">
    <cfRule type="expression" dxfId="9" priority="44" stopIfTrue="1">
      <formula>AND(OR($B30=$V$5,$B30=$V$6),$M30&lt;&gt;"")</formula>
    </cfRule>
  </conditionalFormatting>
  <conditionalFormatting sqref="E44:E184 N7 E7 E29:E42 N29:N184">
    <cfRule type="expression" dxfId="8" priority="166" stopIfTrue="1">
      <formula>$N7&lt;&gt;""</formula>
    </cfRule>
  </conditionalFormatting>
  <conditionalFormatting sqref="B7:E7 D29">
    <cfRule type="expression" dxfId="7" priority="168" stopIfTrue="1">
      <formula>AND(OR($B7=$V$5,$B7=$V$6),$N7&lt;&gt;"")</formula>
    </cfRule>
  </conditionalFormatting>
  <conditionalFormatting sqref="F7 F29">
    <cfRule type="expression" dxfId="6" priority="170" stopIfTrue="1">
      <formula>AND(OR($B7=$V$5,$B7=$V$6),$N7&lt;&gt;"")</formula>
    </cfRule>
  </conditionalFormatting>
  <conditionalFormatting sqref="L47:L56">
    <cfRule type="expression" dxfId="5" priority="31" stopIfTrue="1">
      <formula>OR($L47-$J47&gt;=0.005,$L47-$J47&lt;=-0.005)</formula>
    </cfRule>
  </conditionalFormatting>
  <conditionalFormatting sqref="K8:K28">
    <cfRule type="expression" dxfId="4" priority="2" stopIfTrue="1">
      <formula>OR(J8-K8&gt;=0.005,J8-K8&lt;=-0.005)</formula>
    </cfRule>
  </conditionalFormatting>
  <conditionalFormatting sqref="O8:O28">
    <cfRule type="expression" dxfId="3" priority="1" stopIfTrue="1">
      <formula>OR(O8-K8&gt;=0.005,O8-K8&lt;=-0.005)</formula>
    </cfRule>
  </conditionalFormatting>
  <conditionalFormatting sqref="N8:N28 E8:E28">
    <cfRule type="expression" dxfId="2" priority="3" stopIfTrue="1">
      <formula>$N8&lt;&gt;""</formula>
    </cfRule>
  </conditionalFormatting>
  <conditionalFormatting sqref="B8:E28">
    <cfRule type="expression" dxfId="1" priority="4" stopIfTrue="1">
      <formula>AND(OR($B8=$V$5,$B8=$V$6),$N8&lt;&gt;"")</formula>
    </cfRule>
  </conditionalFormatting>
  <conditionalFormatting sqref="F8:F28">
    <cfRule type="expression" dxfId="0" priority="5" stopIfTrue="1">
      <formula>AND(OR($B8=$V$5,$B8=$V$6),$N8&lt;&gt;"")</formula>
    </cfRule>
  </conditionalFormatting>
  <pageMargins left="0.75" right="0.75" top="1" bottom="1" header="0.5" footer="0.5"/>
  <pageSetup paperSize="9" scale="79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2022-07-15T12:37:21Z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