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Arm1\PycharmProjects\Clarion Portfolio Construction\"/>
    </mc:Choice>
  </mc:AlternateContent>
  <xr:revisionPtr revIDLastSave="0" documentId="13_ncr:1_{B9DFC29B-BAFF-400F-AD71-8F1192825922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IOControl" sheetId="1" r:id="rId1"/>
    <sheet name="APOLLO_LINKS" sheetId="2" state="hidden" r:id="rId2"/>
    <sheet name="Rebalancer" sheetId="3" r:id="rId3"/>
  </sheets>
  <definedNames>
    <definedName name="DIST_2C_COL">Rebalancer!$P$7</definedName>
    <definedName name="DIST_AG_COL">Rebalancer!$A$7</definedName>
    <definedName name="DIST_CV_COL">Rebalancer!$G$7</definedName>
    <definedName name="DIST_D1_COL">Rebalancer!$E$7</definedName>
    <definedName name="DIST_DETAIL_ROW">Rebalancer!$7:$7</definedName>
    <definedName name="DIST_INSERTED_ROWS">Rebalancer!$8:$27</definedName>
    <definedName name="DIST_LC_COL">Rebalancer!$H$7</definedName>
    <definedName name="DIST_NM_COL">Rebalancer!$F$7</definedName>
    <definedName name="DIST_REQ_ACCOUNT">IOControl!$B$5</definedName>
    <definedName name="DIST_REQ_DATE">IOControl!$B$6</definedName>
    <definedName name="DIST_REQ_FILTER_CODE_1">IOControl!$G$2</definedName>
    <definedName name="DIST_REQ_FILTER_CODE_2">IOControl!$G$3</definedName>
    <definedName name="DIST_REQ_FILTER_OPERAND_1">IOControl!$H$2</definedName>
    <definedName name="DIST_REQ_FILTER_OPERAND_2">IOControl!$H$3</definedName>
    <definedName name="DIST_REQ_FILTER_VALUE_1">IOControl!$I$2</definedName>
    <definedName name="DIST_REQ_FILTER_VALUE_2">IOControl!$I$3</definedName>
    <definedName name="DIST_REQ_SCTY_ONLY">IOControl!$B$7</definedName>
    <definedName name="DIST_SN_COL">Rebalancer!$B$7</definedName>
    <definedName name="DIST_U5_COL">Rebalancer!$C$7</definedName>
    <definedName name="IO_CUR_COL">1</definedName>
    <definedName name="IO_CUR_ROW">7</definedName>
    <definedName name="IO_DATA">IOControl!$B$2</definedName>
    <definedName name="IO_DATA2">IOControl!$B$9</definedName>
    <definedName name="IO_REPORT_TYPE">IOControl!$B$3</definedName>
    <definedName name="IO_REPORT_TYPE2">IOControl!$B$10</definedName>
    <definedName name="PARM_Account">IOControl!$E$2</definedName>
    <definedName name="PARM_Date">IOControl!$E$3</definedName>
    <definedName name="_xlnm.Print_Area" localSheetId="2">Rebalancer!$A$1:$Q$41</definedName>
    <definedName name="VALU_BV">Rebalancer!$I$39</definedName>
    <definedName name="VALU_JC">Rebalancer!$G$39</definedName>
    <definedName name="VALU_MN">Rebalancer!$B$2</definedName>
    <definedName name="VALU_REQ_ACCOUNT">IOControl!$B$12</definedName>
    <definedName name="VALU_REQ_CLASS">IOControl!$B$13</definedName>
    <definedName name="VALU_REQ_DATE">IOControl!$B$14</definedName>
    <definedName name="VALU_REQ_PERIOD_TYPE">IOControl!$B$16</definedName>
    <definedName name="VALU_REQ_PERIODS">IOControl!$B$15</definedName>
    <definedName name="VALU_XA">Rebalancer!$H$39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3" l="1"/>
  <c r="D30" i="3"/>
  <c r="D31" i="3"/>
  <c r="D32" i="3"/>
  <c r="D33" i="3"/>
  <c r="D34" i="3"/>
  <c r="D35" i="3"/>
  <c r="D27" i="3" l="1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B6" i="1"/>
  <c r="J50" i="3"/>
  <c r="J66" i="3"/>
  <c r="J63" i="3"/>
  <c r="L62" i="3"/>
  <c r="K62" i="3"/>
  <c r="J62" i="3"/>
  <c r="F62" i="3"/>
  <c r="L61" i="3"/>
  <c r="K61" i="3"/>
  <c r="J61" i="3"/>
  <c r="F61" i="3"/>
  <c r="J60" i="3"/>
  <c r="J59" i="3"/>
  <c r="J58" i="3"/>
  <c r="J57" i="3"/>
  <c r="J56" i="3"/>
  <c r="J55" i="3"/>
  <c r="J54" i="3"/>
  <c r="J49" i="3"/>
  <c r="J48" i="3"/>
  <c r="J47" i="3"/>
  <c r="M43" i="3"/>
  <c r="K41" i="3"/>
  <c r="F39" i="3"/>
  <c r="D7" i="3"/>
  <c r="B4" i="3"/>
  <c r="B3" i="3"/>
  <c r="L1" i="3"/>
  <c r="B14" i="1"/>
  <c r="B12" i="1"/>
  <c r="B5" i="1"/>
  <c r="J51" i="3" l="1"/>
  <c r="J64" i="3"/>
  <c r="F41" i="3"/>
  <c r="M39" i="3"/>
  <c r="J23" i="3" l="1"/>
  <c r="J15" i="3"/>
  <c r="J9" i="3"/>
  <c r="J27" i="3"/>
  <c r="J25" i="3"/>
  <c r="J21" i="3"/>
  <c r="J19" i="3"/>
  <c r="J17" i="3"/>
  <c r="J13" i="3"/>
  <c r="J11" i="3"/>
  <c r="J26" i="3"/>
  <c r="J24" i="3"/>
  <c r="J22" i="3"/>
  <c r="J20" i="3"/>
  <c r="J18" i="3"/>
  <c r="J16" i="3"/>
  <c r="J14" i="3"/>
  <c r="J12" i="3"/>
  <c r="J10" i="3"/>
  <c r="J8" i="3"/>
  <c r="K63" i="3" s="1"/>
  <c r="J67" i="3"/>
  <c r="O39" i="3"/>
  <c r="L66" i="3" s="1"/>
  <c r="F66" i="3" s="1"/>
  <c r="M44" i="3"/>
  <c r="J39" i="3"/>
  <c r="K66" i="3" s="1"/>
  <c r="K50" i="3"/>
  <c r="J7" i="3"/>
  <c r="K55" i="3" s="1"/>
  <c r="K58" i="3" l="1"/>
  <c r="O14" i="3"/>
  <c r="L14" i="3"/>
  <c r="O13" i="3"/>
  <c r="L13" i="3"/>
  <c r="O23" i="3"/>
  <c r="L23" i="3"/>
  <c r="O16" i="3"/>
  <c r="L16" i="3"/>
  <c r="O17" i="3"/>
  <c r="L17" i="3"/>
  <c r="O18" i="3"/>
  <c r="L18" i="3"/>
  <c r="O19" i="3"/>
  <c r="L19" i="3"/>
  <c r="O22" i="3"/>
  <c r="L22" i="3"/>
  <c r="O8" i="3"/>
  <c r="L63" i="3" s="1"/>
  <c r="L8" i="3"/>
  <c r="F63" i="3" s="1"/>
  <c r="O24" i="3"/>
  <c r="L24" i="3"/>
  <c r="O27" i="3"/>
  <c r="L27" i="3"/>
  <c r="O12" i="3"/>
  <c r="L12" i="3"/>
  <c r="O11" i="3"/>
  <c r="L11" i="3"/>
  <c r="O15" i="3"/>
  <c r="L15" i="3"/>
  <c r="O20" i="3"/>
  <c r="L20" i="3"/>
  <c r="O21" i="3"/>
  <c r="L21" i="3"/>
  <c r="O25" i="3"/>
  <c r="L25" i="3"/>
  <c r="O10" i="3"/>
  <c r="L10" i="3"/>
  <c r="O26" i="3"/>
  <c r="L26" i="3"/>
  <c r="O9" i="3"/>
  <c r="L9" i="3"/>
  <c r="F48" i="3"/>
  <c r="K48" i="3"/>
  <c r="I41" i="3"/>
  <c r="B43" i="3" s="1"/>
  <c r="K49" i="3"/>
  <c r="K47" i="3"/>
  <c r="K56" i="3"/>
  <c r="K57" i="3"/>
  <c r="K59" i="3"/>
  <c r="L7" i="3"/>
  <c r="F55" i="3" s="1"/>
  <c r="O7" i="3"/>
  <c r="F49" i="3"/>
  <c r="L49" i="3"/>
  <c r="K60" i="3"/>
  <c r="K54" i="3"/>
  <c r="F50" i="3"/>
  <c r="L56" i="3" l="1"/>
  <c r="L58" i="3"/>
  <c r="L60" i="3"/>
  <c r="L55" i="3"/>
  <c r="L48" i="3"/>
  <c r="F59" i="3"/>
  <c r="F56" i="3"/>
  <c r="L47" i="3"/>
  <c r="K51" i="3"/>
  <c r="K64" i="3"/>
  <c r="L43" i="3"/>
  <c r="L44" i="3" s="1"/>
  <c r="L50" i="3"/>
  <c r="F47" i="3"/>
  <c r="G47" i="3" s="1"/>
  <c r="H47" i="3" s="1"/>
  <c r="I47" i="3" s="1"/>
  <c r="L57" i="3"/>
  <c r="F54" i="3"/>
  <c r="F58" i="3"/>
  <c r="F60" i="3"/>
  <c r="L54" i="3"/>
  <c r="L39" i="3"/>
  <c r="F57" i="3"/>
  <c r="L59" i="3"/>
  <c r="F64" i="3" l="1"/>
  <c r="K67" i="3"/>
  <c r="L51" i="3"/>
  <c r="F51" i="3"/>
  <c r="L64" i="3"/>
  <c r="F67" i="3" l="1"/>
  <c r="L67" i="3"/>
</calcChain>
</file>

<file path=xl/sharedStrings.xml><?xml version="1.0" encoding="utf-8"?>
<sst xmlns="http://schemas.openxmlformats.org/spreadsheetml/2006/main" count="228" uniqueCount="162">
  <si>
    <t>Parms</t>
  </si>
  <si>
    <t>Filters</t>
  </si>
  <si>
    <t>Data Source</t>
  </si>
  <si>
    <t>DIST</t>
  </si>
  <si>
    <t>PARM_Account</t>
  </si>
  <si>
    <t>AG</t>
  </si>
  <si>
    <t>=</t>
  </si>
  <si>
    <t>S:MF</t>
  </si>
  <si>
    <t>Report Type</t>
  </si>
  <si>
    <t>LIST</t>
  </si>
  <si>
    <t>PARM_Date</t>
  </si>
  <si>
    <t>MV</t>
  </si>
  <si>
    <t>!</t>
  </si>
  <si>
    <t>Account</t>
  </si>
  <si>
    <t>Date</t>
  </si>
  <si>
    <t>Scty Only</t>
  </si>
  <si>
    <t>Y</t>
  </si>
  <si>
    <t>VALU</t>
  </si>
  <si>
    <t>REPORT</t>
  </si>
  <si>
    <t>Class</t>
  </si>
  <si>
    <t>0</t>
  </si>
  <si>
    <t>Periods</t>
  </si>
  <si>
    <t>1</t>
  </si>
  <si>
    <t>Period Type</t>
  </si>
  <si>
    <t>D</t>
  </si>
  <si>
    <t>Portfolio Holdings</t>
  </si>
  <si>
    <t>NUMBER OF TRADES</t>
  </si>
  <si>
    <t>MI TWENTYFOUR DYNAMIC BOND I GROSS ACC</t>
  </si>
  <si>
    <t>B5VNH23</t>
  </si>
  <si>
    <t>SEDOL</t>
  </si>
  <si>
    <t>ISIN</t>
  </si>
  <si>
    <t>ISIN Check</t>
  </si>
  <si>
    <t>Fund Name</t>
  </si>
  <si>
    <t>Market Value</t>
  </si>
  <si>
    <t>%</t>
  </si>
  <si>
    <t>Target</t>
  </si>
  <si>
    <t>Undeweight Overweight</t>
  </si>
  <si>
    <t>Deal Amount</t>
  </si>
  <si>
    <t>Post Trade %</t>
  </si>
  <si>
    <t>ARDEVORA GLOBAL EQUITY C</t>
  </si>
  <si>
    <t>B4XSRG3</t>
  </si>
  <si>
    <t>EMERGING MARKETS</t>
  </si>
  <si>
    <t>GLOBAL</t>
  </si>
  <si>
    <t>BOND</t>
  </si>
  <si>
    <t>S</t>
  </si>
  <si>
    <t>EUROPE</t>
  </si>
  <si>
    <t>UK</t>
  </si>
  <si>
    <t>ABSOLUTE RETURN</t>
  </si>
  <si>
    <t>PROPERTY</t>
  </si>
  <si>
    <t>USA</t>
  </si>
  <si>
    <t>ASIA PACIFIC</t>
  </si>
  <si>
    <t>COMMODITY</t>
  </si>
  <si>
    <t>Adjustment Cash</t>
  </si>
  <si>
    <t>Current</t>
  </si>
  <si>
    <t>Post Trade</t>
  </si>
  <si>
    <t>Uninvested Cash + Net Income + Adjustment Cash</t>
  </si>
  <si>
    <t>CASH/MONEY MARKETS</t>
  </si>
  <si>
    <t>Total Portfolio Value</t>
  </si>
  <si>
    <t>Total Deals</t>
  </si>
  <si>
    <t>New Cash</t>
  </si>
  <si>
    <t>Bonds</t>
  </si>
  <si>
    <t>Deal to Target</t>
  </si>
  <si>
    <t>TARGET Exposure</t>
  </si>
  <si>
    <t>CURRENT Exposure</t>
  </si>
  <si>
    <t>POST TRADE Exposure</t>
  </si>
  <si>
    <t>Total Bonds + Property</t>
  </si>
  <si>
    <t>Equities</t>
  </si>
  <si>
    <t>UK EQUITY INCOME</t>
  </si>
  <si>
    <t xml:space="preserve">IA 20-60% </t>
  </si>
  <si>
    <t xml:space="preserve">IA 0-35% </t>
  </si>
  <si>
    <t>JAPAN</t>
  </si>
  <si>
    <t>Total Equities</t>
  </si>
  <si>
    <t>Unit Quantity</t>
  </si>
  <si>
    <t>Currency</t>
  </si>
  <si>
    <t>Notes</t>
  </si>
  <si>
    <t>Sector</t>
  </si>
  <si>
    <t>14/7/2022</t>
  </si>
  <si>
    <t>STRATEGIC</t>
  </si>
  <si>
    <t>MF</t>
  </si>
  <si>
    <t>BLACKROCK UK EQUITY I ACC</t>
  </si>
  <si>
    <t>BAILLIE GIFFORD JAPANESE B ACC</t>
  </si>
  <si>
    <t>STEWART INVESTORS ASA PAC LDRS B ACC GBP</t>
  </si>
  <si>
    <t>ROYAL LONDON STERLING CREDIT Z FUND INCOME</t>
  </si>
  <si>
    <t>ROYAL LONDON GLOBAL INDEX LINKED Z INC</t>
  </si>
  <si>
    <t>ARTEMIS GLOBAL SELECT FUND I ACC</t>
  </si>
  <si>
    <t>ISHARES ESG OVERSEAS CORPORATE BOND INDEX FUND(UK)</t>
  </si>
  <si>
    <t>FRANKLIN UK EQUITY INCOME FUND W ACC</t>
  </si>
  <si>
    <t>MFM SLATER GROWTH CLASS P ACC</t>
  </si>
  <si>
    <t>INVESCO TACTICAL BOND FUND (UK) Z (ACC)</t>
  </si>
  <si>
    <t>LF Blue Whale Growth Fund I Sterling Acc</t>
  </si>
  <si>
    <t>AHFM STRUCTURED PRODUCTS FUND B GBP ACC</t>
  </si>
  <si>
    <t>ASI Short Dated Glbl Corp Bond Tracker Fund B Acc</t>
  </si>
  <si>
    <t>FIDELITY INDEX US P ACC</t>
  </si>
  <si>
    <t>ARTEMIS TGT BD FD F ACC</t>
  </si>
  <si>
    <t>L&amp;G SHORT DATED STERLING CORPORATE BOND INDEX FUND</t>
  </si>
  <si>
    <t>ALLIANZ UK EQUITY INCOME FUND CLASS E SHARES INCOM</t>
  </si>
  <si>
    <t>ARTEMIS US SMALLER COMPANIES I ACC</t>
  </si>
  <si>
    <t>ABERDEEN ASIA PACIFIC EQUITY ENHANCED INDEX B ACC</t>
  </si>
  <si>
    <t>BLACKROCK CONTINENTAL EUROPE X ACC</t>
  </si>
  <si>
    <t>MERIAN GOLD &amp; SILVER FUND R GBP ACC</t>
  </si>
  <si>
    <t>GBP</t>
  </si>
  <si>
    <t>B4W1ZT2</t>
  </si>
  <si>
    <t>B53R4H7</t>
  </si>
  <si>
    <t>B568S20</t>
  </si>
  <si>
    <t>B58YKH5</t>
  </si>
  <si>
    <t>B7DRD63</t>
  </si>
  <si>
    <t>B7T0G90</t>
  </si>
  <si>
    <t>B8N45T8</t>
  </si>
  <si>
    <t>BD6PG56</t>
  </si>
  <si>
    <t>BFLR220</t>
  </si>
  <si>
    <t>BG08N39</t>
  </si>
  <si>
    <t>BJS8SH1</t>
  </si>
  <si>
    <t>BJXPPK9</t>
  </si>
  <si>
    <t>BKGR3F0</t>
  </si>
  <si>
    <t>BMH6XK5</t>
  </si>
  <si>
    <t>BMMV576</t>
  </si>
  <si>
    <t>BRJL7V2</t>
  </si>
  <si>
    <t>BYSXC02</t>
  </si>
  <si>
    <t>BYVJRH9</t>
  </si>
  <si>
    <t>GB0005803530</t>
  </si>
  <si>
    <t>GB0006011133</t>
  </si>
  <si>
    <t>GB0033874768</t>
  </si>
  <si>
    <t>GB00B4W1ZT22</t>
  </si>
  <si>
    <t>GB00B53R4H74</t>
  </si>
  <si>
    <t>GB00B568S201</t>
  </si>
  <si>
    <t>GB00B58YKH53</t>
  </si>
  <si>
    <t>GB00B7DRD638</t>
  </si>
  <si>
    <t>GB00B7T0G907</t>
  </si>
  <si>
    <t>GB00B8N45T82</t>
  </si>
  <si>
    <t>GB00BD6PG563</t>
  </si>
  <si>
    <t>IE00BFLR2202</t>
  </si>
  <si>
    <t>GB00BG08N399</t>
  </si>
  <si>
    <t>GB00BJS8SH10</t>
  </si>
  <si>
    <t>GB00BJXPPK95</t>
  </si>
  <si>
    <t>GB00BKGR3F07</t>
  </si>
  <si>
    <t>GB00BMH6XK58</t>
  </si>
  <si>
    <t>GB00BMMV5766</t>
  </si>
  <si>
    <t>GB00BRJL7V21</t>
  </si>
  <si>
    <t>GB00BYSXC022</t>
  </si>
  <si>
    <t>IE00BYVJRH94</t>
  </si>
  <si>
    <t>CLARION PRUDENCE</t>
  </si>
  <si>
    <t>IE00B1FZSD53</t>
  </si>
  <si>
    <t>GB00B3X7QG63</t>
  </si>
  <si>
    <t>IE00B4WXJK79</t>
  </si>
  <si>
    <t>GB00B80QGH28</t>
  </si>
  <si>
    <t>IE00B9M1BB17</t>
  </si>
  <si>
    <t>IE00BLNMYC90</t>
  </si>
  <si>
    <t>IE00BRHZ0398</t>
  </si>
  <si>
    <t>B1FZSD5</t>
  </si>
  <si>
    <t>B3X7QG6</t>
  </si>
  <si>
    <t>B4WXJK7</t>
  </si>
  <si>
    <t>B80QGH2</t>
  </si>
  <si>
    <t>B9M1BB1</t>
  </si>
  <si>
    <t>BLNMYC9</t>
  </si>
  <si>
    <t>BRHZ039</t>
  </si>
  <si>
    <t>iShares £ Index-Linked Gilts UCITS ETF</t>
  </si>
  <si>
    <t>Vanguard FTSE U.K. All Share Index Unit Trust A Acc GBP in GB</t>
  </si>
  <si>
    <t>iShares UK Gilts 0-5yr UCITS ETF</t>
  </si>
  <si>
    <t>HSBC European Index C Acc in GB</t>
  </si>
  <si>
    <t>Vanguard UK Short-Term Investment Grade Bond Index Acc</t>
  </si>
  <si>
    <t>Xtrackers S&amp;P 500 Equal Weight UCITS ETF</t>
  </si>
  <si>
    <t>iShares MSCI Target UK Real Estate UCITS ETF GBP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</si>
</sst>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;[Red]\(&quot;£&quot;#,##0.00\)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theme="0"/>
        <bgColor rgb="FFC0C0C0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9">
    <xf numFmtId="0" fontId="0" fillId="0" borderId="0" xfId="0"/>
    <xf numFmtId="15" fontId="0" fillId="0" borderId="0" xfId="0" applyNumberFormat="1"/>
    <xf numFmtId="14" fontId="0" fillId="0" borderId="0" xfId="0" applyNumberFormat="1"/>
    <xf numFmtId="10" fontId="0" fillId="2" borderId="0" xfId="0" applyNumberFormat="1" applyFill="1" applyAlignment="1" applyProtection="1">
      <alignment horizontal="right"/>
      <protection locked="0"/>
    </xf>
    <xf numFmtId="10" fontId="0" fillId="3" borderId="0" xfId="0" applyNumberFormat="1" applyFill="1" applyAlignment="1" applyProtection="1">
      <alignment horizontal="right"/>
      <protection locked="0"/>
    </xf>
    <xf numFmtId="0" fontId="0" fillId="0" borderId="0" xfId="0" applyProtection="1">
      <protection locked="0"/>
    </xf>
    <xf numFmtId="10" fontId="0" fillId="0" borderId="0" xfId="0" applyNumberFormat="1" applyAlignment="1" applyProtection="1">
      <alignment horizontal="right"/>
      <protection locked="0"/>
    </xf>
    <xf numFmtId="164" fontId="0" fillId="0" borderId="1" xfId="0" applyNumberFormat="1" applyBorder="1" applyAlignment="1" applyProtection="1">
      <alignment horizontal="right"/>
      <protection locked="0"/>
    </xf>
    <xf numFmtId="164" fontId="0" fillId="0" borderId="0" xfId="0" applyNumberFormat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right"/>
      <protection locked="0"/>
    </xf>
    <xf numFmtId="10" fontId="1" fillId="0" borderId="0" xfId="0" applyNumberFormat="1" applyFont="1" applyAlignment="1" applyProtection="1">
      <alignment horizontal="right"/>
      <protection locked="0"/>
    </xf>
    <xf numFmtId="164" fontId="1" fillId="0" borderId="0" xfId="0" applyNumberFormat="1" applyFont="1" applyAlignment="1" applyProtection="1">
      <alignment horizontal="center" vertical="center" wrapText="1"/>
      <protection locked="0"/>
    </xf>
    <xf numFmtId="164" fontId="1" fillId="0" borderId="1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left"/>
      <protection locked="0"/>
    </xf>
    <xf numFmtId="0" fontId="2" fillId="0" borderId="0" xfId="0" applyFont="1" applyProtection="1">
      <protection locked="0"/>
    </xf>
    <xf numFmtId="0" fontId="0" fillId="4" borderId="0" xfId="0" applyFill="1" applyProtection="1">
      <protection locked="0"/>
    </xf>
    <xf numFmtId="164" fontId="0" fillId="4" borderId="1" xfId="0" applyNumberFormat="1" applyFill="1" applyBorder="1" applyAlignment="1" applyProtection="1">
      <alignment horizontal="right"/>
      <protection locked="0"/>
    </xf>
    <xf numFmtId="164" fontId="0" fillId="5" borderId="2" xfId="0" applyNumberFormat="1" applyFill="1" applyBorder="1" applyProtection="1">
      <protection locked="0"/>
    </xf>
    <xf numFmtId="0" fontId="1" fillId="0" borderId="0" xfId="0" applyFont="1" applyAlignment="1" applyProtection="1">
      <alignment wrapText="1"/>
      <protection locked="0"/>
    </xf>
    <xf numFmtId="10" fontId="1" fillId="0" borderId="0" xfId="0" applyNumberFormat="1" applyFont="1" applyAlignment="1" applyProtection="1">
      <alignment horizontal="center" vertical="center" wrapText="1"/>
      <protection locked="0"/>
    </xf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center" vertical="center" wrapText="1"/>
    </xf>
    <xf numFmtId="10" fontId="0" fillId="0" borderId="0" xfId="0" applyNumberFormat="1" applyAlignment="1">
      <alignment horizontal="right"/>
    </xf>
    <xf numFmtId="164" fontId="0" fillId="4" borderId="0" xfId="0" applyNumberFormat="1" applyFill="1" applyAlignment="1">
      <alignment horizontal="right"/>
    </xf>
    <xf numFmtId="164" fontId="2" fillId="0" borderId="0" xfId="0" applyNumberFormat="1" applyFont="1" applyAlignment="1">
      <alignment horizontal="right"/>
    </xf>
    <xf numFmtId="10" fontId="1" fillId="0" borderId="0" xfId="0" applyNumberFormat="1" applyFont="1"/>
    <xf numFmtId="164" fontId="0" fillId="0" borderId="0" xfId="0" applyNumberFormat="1"/>
    <xf numFmtId="164" fontId="1" fillId="0" borderId="0" xfId="0" applyNumberFormat="1" applyFont="1"/>
    <xf numFmtId="10" fontId="0" fillId="0" borderId="0" xfId="0" applyNumberFormat="1"/>
    <xf numFmtId="0" fontId="1" fillId="0" borderId="0" xfId="0" applyFont="1"/>
    <xf numFmtId="10" fontId="1" fillId="0" borderId="0" xfId="0" applyNumberFormat="1" applyFont="1" applyAlignment="1">
      <alignment horizontal="right"/>
    </xf>
    <xf numFmtId="10" fontId="0" fillId="0" borderId="0" xfId="0" applyNumberFormat="1" applyAlignment="1">
      <alignment horizontal="left"/>
    </xf>
    <xf numFmtId="164" fontId="0" fillId="0" borderId="3" xfId="0" applyNumberFormat="1" applyBorder="1"/>
    <xf numFmtId="0" fontId="0" fillId="0" borderId="3" xfId="0" applyBorder="1"/>
    <xf numFmtId="164" fontId="0" fillId="0" borderId="4" xfId="0" applyNumberFormat="1" applyBorder="1"/>
    <xf numFmtId="0" fontId="1" fillId="5" borderId="5" xfId="1" applyFont="1" applyFill="1" applyBorder="1" applyAlignment="1" applyProtection="1">
      <alignment horizontal="left"/>
      <protection locked="0"/>
    </xf>
    <xf numFmtId="0" fontId="2" fillId="5" borderId="6" xfId="1" applyFill="1" applyBorder="1" applyAlignment="1" applyProtection="1">
      <alignment horizontal="left"/>
      <protection locked="0"/>
    </xf>
    <xf numFmtId="10" fontId="1" fillId="0" borderId="7" xfId="0" applyNumberFormat="1" applyFont="1" applyBorder="1" applyAlignment="1" applyProtection="1">
      <alignment horizontal="center"/>
      <protection locked="0"/>
    </xf>
    <xf numFmtId="164" fontId="1" fillId="0" borderId="8" xfId="0" applyNumberFormat="1" applyFont="1" applyBorder="1" applyAlignment="1" applyProtection="1">
      <alignment horizontal="center"/>
      <protection locked="0"/>
    </xf>
    <xf numFmtId="10" fontId="0" fillId="0" borderId="8" xfId="0" applyNumberFormat="1" applyBorder="1" applyAlignment="1">
      <alignment horizontal="center"/>
    </xf>
    <xf numFmtId="10" fontId="0" fillId="0" borderId="7" xfId="0" applyNumberFormat="1" applyBorder="1" applyAlignment="1" applyProtection="1">
      <alignment horizontal="center"/>
      <protection locked="0"/>
    </xf>
    <xf numFmtId="164" fontId="0" fillId="0" borderId="9" xfId="0" applyNumberFormat="1" applyBorder="1" applyAlignment="1">
      <alignment horizontal="center"/>
    </xf>
    <xf numFmtId="164" fontId="0" fillId="0" borderId="8" xfId="0" applyNumberFormat="1" applyBorder="1" applyAlignment="1" applyProtection="1">
      <alignment horizontal="center"/>
      <protection locked="0"/>
    </xf>
    <xf numFmtId="164" fontId="0" fillId="6" borderId="1" xfId="0" applyNumberFormat="1" applyFill="1" applyBorder="1" applyProtection="1">
      <protection locked="0"/>
    </xf>
    <xf numFmtId="164" fontId="1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/>
    <xf numFmtId="0" fontId="1" fillId="5" borderId="6" xfId="1" applyFont="1" applyFill="1" applyBorder="1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10" fontId="0" fillId="0" borderId="0" xfId="0" applyNumberFormat="1" applyAlignment="1" applyProtection="1">
      <alignment horizontal="left" wrapText="1"/>
      <protection locked="0"/>
    </xf>
    <xf numFmtId="164" fontId="0" fillId="0" borderId="0" xfId="0" applyNumberFormat="1" applyAlignment="1" applyProtection="1">
      <alignment horizontal="right"/>
      <protection locked="0"/>
    </xf>
    <xf numFmtId="10" fontId="1" fillId="7" borderId="10" xfId="0" applyNumberFormat="1" applyFont="1" applyFill="1" applyBorder="1" applyAlignment="1" applyProtection="1">
      <alignment horizontal="left" wrapText="1"/>
      <protection locked="0"/>
    </xf>
    <xf numFmtId="2" fontId="1" fillId="7" borderId="11" xfId="0" applyNumberFormat="1" applyFont="1" applyFill="1" applyBorder="1" applyAlignment="1">
      <alignment horizontal="right" vertical="center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0" xfId="0" applyNumberFormat="1"/>
    <xf numFmtId="0" fontId="1" fillId="0" borderId="0" xfId="0" applyFont="1" applyAlignment="1" applyProtection="1">
      <alignment horizontal="right"/>
      <protection locked="0"/>
    </xf>
    <xf numFmtId="0" fontId="1" fillId="0" borderId="0" xfId="0" applyFont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Protection="1">
      <protection locked="0"/>
    </xf>
    <xf numFmtId="10" fontId="1" fillId="3" borderId="8" xfId="0" applyNumberFormat="1" applyFont="1" applyFill="1" applyBorder="1" applyAlignment="1" applyProtection="1">
      <alignment horizontal="center"/>
      <protection locked="0"/>
    </xf>
    <xf numFmtId="0" fontId="0" fillId="0" borderId="9" xfId="0" applyBorder="1" applyProtection="1"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12" xfId="0" applyBorder="1" applyAlignment="1" applyProtection="1">
      <alignment horizontal="left"/>
      <protection locked="0"/>
    </xf>
    <xf numFmtId="0" fontId="0" fillId="0" borderId="4" xfId="0" applyBorder="1" applyProtection="1"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left"/>
      <protection locked="0"/>
    </xf>
  </cellXfs>
  <cellStyles count="2">
    <cellStyle name="Normal" xfId="0" builtinId="0"/>
    <cellStyle name="Normal 2" xfId="1" xr:uid="{00000000-0005-0000-0000-000001000000}"/>
  </cellStyles>
  <dxfs count="19">
    <dxf>
      <font>
        <b/>
        <color rgb="FFFF0000"/>
      </font>
      <fill>
        <patternFill>
          <bgColor rgb="FFFFFF99"/>
        </patternFill>
      </fill>
      <border>
        <top style="thin">
          <color indexed="64"/>
        </top>
        <bottom style="thin">
          <color indexed="64"/>
        </bottom>
      </border>
    </dxf>
    <dxf>
      <font>
        <b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</font>
      <fill>
        <patternFill>
          <bgColor theme="6" tint="0.39994506668294322"/>
        </patternFill>
      </fill>
    </dxf>
    <dxf>
      <font>
        <b/>
        <color rgb="FFFF0000"/>
      </font>
    </dxf>
    <dxf>
      <font>
        <b/>
      </font>
    </dxf>
    <dxf>
      <font>
        <b/>
        <color rgb="FFFF0000"/>
      </font>
    </dxf>
    <dxf>
      <font>
        <b/>
        <color rgb="FFFF0000"/>
      </font>
      <fill>
        <patternFill>
          <bgColor rgb="FFFFFF99"/>
        </patternFill>
      </fill>
      <border>
        <top style="thin">
          <color indexed="64"/>
        </top>
        <bottom style="thin">
          <color indexed="64"/>
        </bottom>
      </border>
    </dxf>
    <dxf>
      <font>
        <b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</font>
      <fill>
        <patternFill>
          <bgColor theme="6" tint="0.39994506668294322"/>
        </patternFill>
      </fill>
    </dxf>
    <dxf>
      <font>
        <b/>
        <color rgb="FFFF0000"/>
      </font>
      <fill>
        <patternFill>
          <bgColor rgb="FFFFFF99"/>
        </patternFill>
      </fill>
      <border>
        <top style="thin">
          <color indexed="64"/>
        </top>
        <bottom style="thin">
          <color indexed="64"/>
        </bottom>
      </border>
    </dxf>
    <dxf>
      <font>
        <b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</font>
      <fill>
        <patternFill>
          <bgColor theme="6" tint="0.39994506668294322"/>
        </patternFill>
      </fill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</font>
    </dxf>
    <dxf>
      <font>
        <b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6"/>
  <sheetViews>
    <sheetView workbookViewId="0">
      <selection activeCell="B13" sqref="B13"/>
    </sheetView>
  </sheetViews>
  <sheetFormatPr defaultRowHeight="12.75" x14ac:dyDescent="0.2"/>
  <cols>
    <col min="1" max="1" width="11.28515625" bestFit="1" customWidth="1"/>
    <col min="4" max="4" width="14.42578125" bestFit="1" customWidth="1"/>
    <col min="5" max="5" width="10.140625" bestFit="1" customWidth="1"/>
  </cols>
  <sheetData>
    <row r="1" spans="1:9" x14ac:dyDescent="0.2">
      <c r="D1" t="s">
        <v>0</v>
      </c>
      <c r="G1" t="s">
        <v>1</v>
      </c>
    </row>
    <row r="2" spans="1:9" x14ac:dyDescent="0.2">
      <c r="A2" t="s">
        <v>2</v>
      </c>
      <c r="B2" t="s">
        <v>3</v>
      </c>
      <c r="D2" t="s">
        <v>4</v>
      </c>
      <c r="E2">
        <v>397789</v>
      </c>
      <c r="G2" t="s">
        <v>5</v>
      </c>
      <c r="H2" t="s">
        <v>6</v>
      </c>
      <c r="I2" t="s">
        <v>7</v>
      </c>
    </row>
    <row r="3" spans="1:9" x14ac:dyDescent="0.2">
      <c r="A3" t="s">
        <v>8</v>
      </c>
      <c r="B3" t="s">
        <v>9</v>
      </c>
      <c r="D3" t="s">
        <v>10</v>
      </c>
      <c r="E3" s="2" t="s">
        <v>76</v>
      </c>
      <c r="G3" t="s">
        <v>11</v>
      </c>
      <c r="H3" t="s">
        <v>12</v>
      </c>
      <c r="I3">
        <v>0</v>
      </c>
    </row>
    <row r="5" spans="1:9" x14ac:dyDescent="0.2">
      <c r="A5" t="s">
        <v>13</v>
      </c>
      <c r="B5">
        <f>PARM_Account</f>
        <v>397789</v>
      </c>
    </row>
    <row r="6" spans="1:9" x14ac:dyDescent="0.2">
      <c r="A6" t="s">
        <v>14</v>
      </c>
      <c r="B6" s="1" t="str">
        <f>PARM_Date</f>
        <v>14/7/2022</v>
      </c>
    </row>
    <row r="7" spans="1:9" x14ac:dyDescent="0.2">
      <c r="A7" t="s">
        <v>15</v>
      </c>
      <c r="B7" t="s">
        <v>16</v>
      </c>
    </row>
    <row r="9" spans="1:9" x14ac:dyDescent="0.2">
      <c r="A9" t="s">
        <v>2</v>
      </c>
      <c r="B9" t="s">
        <v>17</v>
      </c>
    </row>
    <row r="10" spans="1:9" x14ac:dyDescent="0.2">
      <c r="A10" t="s">
        <v>8</v>
      </c>
      <c r="B10" t="s">
        <v>18</v>
      </c>
    </row>
    <row r="12" spans="1:9" x14ac:dyDescent="0.2">
      <c r="A12" t="s">
        <v>13</v>
      </c>
      <c r="B12">
        <f>PARM_Account</f>
        <v>397789</v>
      </c>
    </row>
    <row r="13" spans="1:9" x14ac:dyDescent="0.2">
      <c r="A13" t="s">
        <v>19</v>
      </c>
      <c r="B13" t="s">
        <v>20</v>
      </c>
    </row>
    <row r="14" spans="1:9" x14ac:dyDescent="0.2">
      <c r="A14" t="s">
        <v>14</v>
      </c>
      <c r="B14" s="1" t="str">
        <f>PARM_Date</f>
        <v>14/7/2022</v>
      </c>
    </row>
    <row r="15" spans="1:9" x14ac:dyDescent="0.2">
      <c r="A15" t="s">
        <v>21</v>
      </c>
      <c r="B15" t="s">
        <v>22</v>
      </c>
    </row>
    <row r="16" spans="1:9" x14ac:dyDescent="0.2">
      <c r="A16" t="s">
        <v>23</v>
      </c>
      <c r="B16" t="s">
        <v>24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2.75" x14ac:dyDescent="0.2"/>
  <sheetData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V67"/>
  <sheetViews>
    <sheetView showGridLines="0" tabSelected="1" topLeftCell="A13" zoomScaleNormal="100" workbookViewId="0">
      <selection activeCell="K33" sqref="K33"/>
    </sheetView>
  </sheetViews>
  <sheetFormatPr defaultRowHeight="12.75" x14ac:dyDescent="0.2"/>
  <cols>
    <col min="1" max="1" width="8" style="5" customWidth="1"/>
    <col min="2" max="4" width="15.85546875" style="14" customWidth="1"/>
    <col min="5" max="5" width="62.7109375" style="5" customWidth="1"/>
    <col min="6" max="6" width="15.42578125" style="8" customWidth="1"/>
    <col min="7" max="7" width="12.7109375" style="5" customWidth="1"/>
    <col min="8" max="8" width="5.5703125" style="5" customWidth="1"/>
    <col min="9" max="9" width="5.140625" style="5" customWidth="1"/>
    <col min="10" max="10" width="12" style="6" customWidth="1"/>
    <col min="11" max="11" width="12.85546875" style="6" customWidth="1"/>
    <col min="12" max="12" width="15.5703125" style="21" customWidth="1"/>
    <col min="13" max="13" width="12.7109375" style="7" bestFit="1" customWidth="1"/>
    <col min="14" max="14" width="11.28515625" style="21" customWidth="1"/>
    <col min="15" max="15" width="9.140625" style="5" customWidth="1"/>
    <col min="16" max="16" width="15.140625" style="5" customWidth="1"/>
    <col min="17" max="20" width="9.140625" style="5" customWidth="1"/>
    <col min="21" max="21" width="45.140625" style="5" bestFit="1" customWidth="1"/>
    <col min="22" max="22" width="9.140625" style="5" customWidth="1"/>
    <col min="23" max="16384" width="9.140625" style="5"/>
  </cols>
  <sheetData>
    <row r="1" spans="1:22" ht="26.25" customHeight="1" thickBot="1" x14ac:dyDescent="0.25">
      <c r="B1" s="67" t="s">
        <v>25</v>
      </c>
      <c r="C1" s="63"/>
      <c r="D1" s="63"/>
      <c r="E1" s="63"/>
      <c r="F1" s="63"/>
      <c r="G1" s="63"/>
      <c r="H1" s="63"/>
      <c r="I1" s="63"/>
      <c r="J1" s="63"/>
      <c r="K1" s="51" t="s">
        <v>26</v>
      </c>
      <c r="L1" s="52">
        <f>COUNT(N:N)</f>
        <v>0</v>
      </c>
      <c r="M1" s="50"/>
    </row>
    <row r="2" spans="1:22" x14ac:dyDescent="0.2">
      <c r="B2" s="67" t="s">
        <v>140</v>
      </c>
      <c r="C2" s="63"/>
      <c r="D2" s="63"/>
      <c r="E2" s="63"/>
      <c r="F2" s="63"/>
      <c r="G2" s="63"/>
      <c r="H2" s="63"/>
      <c r="I2" s="63"/>
      <c r="J2" s="63"/>
      <c r="K2" s="49"/>
    </row>
    <row r="3" spans="1:22" x14ac:dyDescent="0.2">
      <c r="B3" s="68" t="str">
        <f>IF(IOControl!E3&lt;1,"",""&amp;TEXT(IOControl!E3,"dd mmm yyyy"))</f>
        <v>14 Jul 2022</v>
      </c>
      <c r="C3" s="63"/>
      <c r="D3" s="63"/>
      <c r="E3" s="63"/>
      <c r="F3" s="63"/>
      <c r="G3" s="63"/>
      <c r="H3" s="63"/>
      <c r="I3" s="63"/>
      <c r="J3" s="63"/>
    </row>
    <row r="4" spans="1:22" x14ac:dyDescent="0.2">
      <c r="B4" s="54">
        <f>IF(PARM_Account&lt;1,"",PARM_Account)</f>
        <v>397789</v>
      </c>
      <c r="C4" s="54"/>
      <c r="D4" s="54"/>
    </row>
    <row r="5" spans="1:22" x14ac:dyDescent="0.2">
      <c r="U5" s="5" t="s">
        <v>27</v>
      </c>
      <c r="V5" s="14" t="s">
        <v>28</v>
      </c>
    </row>
    <row r="6" spans="1:22" s="9" customFormat="1" ht="25.5" customHeight="1" x14ac:dyDescent="0.2">
      <c r="B6" s="53" t="s">
        <v>29</v>
      </c>
      <c r="C6" s="53" t="s">
        <v>30</v>
      </c>
      <c r="D6" s="53" t="s">
        <v>31</v>
      </c>
      <c r="E6" s="9" t="s">
        <v>32</v>
      </c>
      <c r="F6" s="10" t="s">
        <v>33</v>
      </c>
      <c r="G6" s="9" t="s">
        <v>72</v>
      </c>
      <c r="H6" s="9" t="s">
        <v>73</v>
      </c>
      <c r="J6" s="11" t="s">
        <v>34</v>
      </c>
      <c r="K6" s="11" t="s">
        <v>35</v>
      </c>
      <c r="L6" s="22" t="s">
        <v>36</v>
      </c>
      <c r="N6" s="45" t="s">
        <v>37</v>
      </c>
      <c r="O6" s="22" t="s">
        <v>38</v>
      </c>
      <c r="P6" s="57" t="s">
        <v>75</v>
      </c>
      <c r="Q6" s="57" t="s">
        <v>74</v>
      </c>
      <c r="R6" s="56"/>
      <c r="U6" s="15" t="s">
        <v>39</v>
      </c>
      <c r="V6" s="14" t="s">
        <v>40</v>
      </c>
    </row>
    <row r="7" spans="1:22" x14ac:dyDescent="0.2">
      <c r="A7" s="5" t="s">
        <v>44</v>
      </c>
      <c r="B7" s="14">
        <v>580353</v>
      </c>
      <c r="C7" s="14" t="s">
        <v>119</v>
      </c>
      <c r="D7" s="48" t="str">
        <f t="shared" ref="D7" si="0">IF(RIGHT(LEFT(C7,11),7)=B7,"OK","CHECK")</f>
        <v>CHECK</v>
      </c>
      <c r="E7" s="5" t="s">
        <v>79</v>
      </c>
      <c r="F7" s="8">
        <v>253781.33</v>
      </c>
      <c r="G7" s="5">
        <v>3014.431</v>
      </c>
      <c r="H7" s="5" t="s">
        <v>100</v>
      </c>
      <c r="J7" s="6">
        <f>F7/F$41</f>
        <v>2.0239242640121082E-2</v>
      </c>
      <c r="K7" s="3">
        <v>0</v>
      </c>
      <c r="L7" s="21">
        <f>ROUND((K7-J7)*F$41,-2)</f>
        <v>-253800</v>
      </c>
      <c r="N7" s="44"/>
      <c r="O7" s="23">
        <f>IF(OR(N7="",F7=""),J7,(F7+N7)/$F$41)</f>
        <v>2.0239242640121082E-2</v>
      </c>
      <c r="P7" s="15" t="s">
        <v>67</v>
      </c>
    </row>
    <row r="8" spans="1:22" s="58" customFormat="1" x14ac:dyDescent="0.2">
      <c r="A8" s="58" t="s">
        <v>78</v>
      </c>
      <c r="B8" s="14">
        <v>601113</v>
      </c>
      <c r="C8" s="14" t="s">
        <v>120</v>
      </c>
      <c r="D8" s="48" t="str">
        <f t="shared" ref="D8:D35" si="1">IF(RIGHT(LEFT(C8,11),7)=B8,"OK","CHECK")</f>
        <v>CHECK</v>
      </c>
      <c r="E8" s="58" t="s">
        <v>80</v>
      </c>
      <c r="F8" s="8">
        <v>654743.09</v>
      </c>
      <c r="G8" s="58">
        <v>37521.093999999997</v>
      </c>
      <c r="H8" s="58" t="s">
        <v>100</v>
      </c>
      <c r="J8" s="6">
        <f>F8/F$41</f>
        <v>5.2216229875746319E-2</v>
      </c>
      <c r="K8" s="3">
        <v>0</v>
      </c>
      <c r="L8" s="21">
        <f>ROUND((K8-J8)*F$41,-2)</f>
        <v>-654700</v>
      </c>
      <c r="M8" s="7"/>
      <c r="N8" s="44"/>
      <c r="O8" s="23">
        <f>IF(OR(N8="",F8=""),J8,(F8+N8)/$F$41)</f>
        <v>5.2216229875746319E-2</v>
      </c>
      <c r="P8" s="15" t="s">
        <v>70</v>
      </c>
    </row>
    <row r="9" spans="1:22" s="58" customFormat="1" x14ac:dyDescent="0.2">
      <c r="A9" s="58" t="s">
        <v>78</v>
      </c>
      <c r="B9" s="14">
        <v>3387476</v>
      </c>
      <c r="C9" s="14" t="s">
        <v>121</v>
      </c>
      <c r="D9" s="48" t="str">
        <f t="shared" si="1"/>
        <v>CHECK</v>
      </c>
      <c r="E9" s="58" t="s">
        <v>81</v>
      </c>
      <c r="F9" s="8">
        <v>644444.02</v>
      </c>
      <c r="G9" s="58">
        <v>66689.849000000002</v>
      </c>
      <c r="H9" s="58" t="s">
        <v>100</v>
      </c>
      <c r="J9" s="6">
        <f>F9/F$41</f>
        <v>5.1394871674583176E-2</v>
      </c>
      <c r="K9" s="3">
        <v>0</v>
      </c>
      <c r="L9" s="21">
        <f>ROUND((K9-J9)*F$41,-2)</f>
        <v>-644400</v>
      </c>
      <c r="M9" s="7"/>
      <c r="N9" s="44"/>
      <c r="O9" s="23">
        <f>IF(OR(N9="",F9=""),J9,(F9+N9)/$F$41)</f>
        <v>5.1394871674583176E-2</v>
      </c>
      <c r="P9" s="15" t="s">
        <v>50</v>
      </c>
    </row>
    <row r="10" spans="1:22" s="58" customFormat="1" x14ac:dyDescent="0.2">
      <c r="A10" s="58" t="s">
        <v>78</v>
      </c>
      <c r="B10" s="14" t="s">
        <v>101</v>
      </c>
      <c r="C10" s="14" t="s">
        <v>122</v>
      </c>
      <c r="D10" s="48" t="str">
        <f t="shared" si="1"/>
        <v>OK</v>
      </c>
      <c r="E10" s="58" t="s">
        <v>82</v>
      </c>
      <c r="F10" s="8">
        <v>568062.71</v>
      </c>
      <c r="G10" s="58">
        <v>457745.9423</v>
      </c>
      <c r="H10" s="58" t="s">
        <v>100</v>
      </c>
      <c r="J10" s="6">
        <f>F10/F$41</f>
        <v>4.5303407553639728E-2</v>
      </c>
      <c r="K10" s="3">
        <v>0</v>
      </c>
      <c r="L10" s="21">
        <f>ROUND((K10-J10)*F$41,-2)</f>
        <v>-568100</v>
      </c>
      <c r="M10" s="7"/>
      <c r="N10" s="44"/>
      <c r="O10" s="23">
        <f>IF(OR(N10="",F10=""),J10,(F10+N10)/$F$41)</f>
        <v>4.5303407553639728E-2</v>
      </c>
      <c r="P10" s="15" t="s">
        <v>77</v>
      </c>
    </row>
    <row r="11" spans="1:22" s="58" customFormat="1" x14ac:dyDescent="0.2">
      <c r="A11" s="58" t="s">
        <v>78</v>
      </c>
      <c r="B11" s="14" t="s">
        <v>102</v>
      </c>
      <c r="C11" s="14" t="s">
        <v>123</v>
      </c>
      <c r="D11" s="48" t="str">
        <f t="shared" si="1"/>
        <v>OK</v>
      </c>
      <c r="E11" s="58" t="s">
        <v>83</v>
      </c>
      <c r="F11" s="8">
        <v>831226.7</v>
      </c>
      <c r="G11" s="58">
        <v>616637.01939999999</v>
      </c>
      <c r="H11" s="58" t="s">
        <v>100</v>
      </c>
      <c r="J11" s="6">
        <f>F11/F$41</f>
        <v>6.6290924041761207E-2</v>
      </c>
      <c r="K11" s="3">
        <v>0</v>
      </c>
      <c r="L11" s="21">
        <f>ROUND((K11-J11)*F$41,-2)</f>
        <v>-831200</v>
      </c>
      <c r="M11" s="7"/>
      <c r="N11" s="44"/>
      <c r="O11" s="23">
        <f>IF(OR(N11="",F11=""),J11,(F11+N11)/$F$41)</f>
        <v>6.6290924041761207E-2</v>
      </c>
      <c r="P11" s="15" t="s">
        <v>77</v>
      </c>
    </row>
    <row r="12" spans="1:22" s="58" customFormat="1" x14ac:dyDescent="0.2">
      <c r="A12" s="58" t="s">
        <v>78</v>
      </c>
      <c r="B12" s="14" t="s">
        <v>103</v>
      </c>
      <c r="C12" s="14" t="s">
        <v>124</v>
      </c>
      <c r="D12" s="48" t="str">
        <f t="shared" si="1"/>
        <v>OK</v>
      </c>
      <c r="E12" s="58" t="s">
        <v>84</v>
      </c>
      <c r="F12" s="8">
        <v>300252.95</v>
      </c>
      <c r="G12" s="58">
        <v>187869.44399999999</v>
      </c>
      <c r="H12" s="58" t="s">
        <v>100</v>
      </c>
      <c r="J12" s="6">
        <f>F12/F$41</f>
        <v>2.3945387584114814E-2</v>
      </c>
      <c r="K12" s="3">
        <v>0</v>
      </c>
      <c r="L12" s="21">
        <f>ROUND((K12-J12)*F$41,-2)</f>
        <v>-300300</v>
      </c>
      <c r="M12" s="7"/>
      <c r="N12" s="44"/>
      <c r="O12" s="23">
        <f>IF(OR(N12="",F12=""),J12,(F12+N12)/$F$41)</f>
        <v>2.3945387584114814E-2</v>
      </c>
      <c r="P12" s="15" t="s">
        <v>42</v>
      </c>
    </row>
    <row r="13" spans="1:22" s="58" customFormat="1" x14ac:dyDescent="0.2">
      <c r="A13" s="58" t="s">
        <v>78</v>
      </c>
      <c r="B13" s="14" t="s">
        <v>104</v>
      </c>
      <c r="C13" s="14" t="s">
        <v>125</v>
      </c>
      <c r="D13" s="48" t="str">
        <f t="shared" si="1"/>
        <v>OK</v>
      </c>
      <c r="E13" s="58" t="s">
        <v>85</v>
      </c>
      <c r="F13" s="8">
        <v>624729.34</v>
      </c>
      <c r="G13" s="58">
        <v>388634.11800000002</v>
      </c>
      <c r="H13" s="58" t="s">
        <v>100</v>
      </c>
      <c r="J13" s="6">
        <f>F13/F$41</f>
        <v>4.982261183934493E-2</v>
      </c>
      <c r="K13" s="3">
        <v>0</v>
      </c>
      <c r="L13" s="21">
        <f>ROUND((K13-J13)*F$41,-2)</f>
        <v>-624700</v>
      </c>
      <c r="M13" s="7"/>
      <c r="N13" s="44"/>
      <c r="O13" s="23">
        <f>IF(OR(N13="",F13=""),J13,(F13+N13)/$F$41)</f>
        <v>4.982261183934493E-2</v>
      </c>
      <c r="P13" s="15" t="s">
        <v>42</v>
      </c>
    </row>
    <row r="14" spans="1:22" s="58" customFormat="1" x14ac:dyDescent="0.2">
      <c r="A14" s="58" t="s">
        <v>78</v>
      </c>
      <c r="B14" s="14" t="s">
        <v>105</v>
      </c>
      <c r="C14" s="14" t="s">
        <v>126</v>
      </c>
      <c r="D14" s="48" t="str">
        <f t="shared" si="1"/>
        <v>OK</v>
      </c>
      <c r="E14" s="58" t="s">
        <v>86</v>
      </c>
      <c r="F14" s="8">
        <v>505600.8</v>
      </c>
      <c r="G14" s="58">
        <v>214328.446</v>
      </c>
      <c r="H14" s="58" t="s">
        <v>100</v>
      </c>
      <c r="J14" s="6">
        <f>F14/F$41</f>
        <v>4.0322025541592567E-2</v>
      </c>
      <c r="K14" s="3">
        <v>0</v>
      </c>
      <c r="L14" s="21">
        <f>ROUND((K14-J14)*F$41,-2)</f>
        <v>-505600</v>
      </c>
      <c r="M14" s="7"/>
      <c r="N14" s="44"/>
      <c r="O14" s="23">
        <f>IF(OR(N14="",F14=""),J14,(F14+N14)/$F$41)</f>
        <v>4.0322025541592567E-2</v>
      </c>
      <c r="P14" s="15" t="s">
        <v>46</v>
      </c>
    </row>
    <row r="15" spans="1:22" s="58" customFormat="1" x14ac:dyDescent="0.2">
      <c r="A15" s="58" t="s">
        <v>78</v>
      </c>
      <c r="B15" s="14" t="s">
        <v>106</v>
      </c>
      <c r="C15" s="14" t="s">
        <v>127</v>
      </c>
      <c r="D15" s="48" t="str">
        <f t="shared" si="1"/>
        <v>OK</v>
      </c>
      <c r="E15" s="58" t="s">
        <v>87</v>
      </c>
      <c r="F15" s="8">
        <v>478418.21</v>
      </c>
      <c r="G15" s="58">
        <v>65101.542000000001</v>
      </c>
      <c r="H15" s="58" t="s">
        <v>100</v>
      </c>
      <c r="J15" s="6">
        <f>F15/F$41</f>
        <v>3.8154194540797798E-2</v>
      </c>
      <c r="K15" s="3">
        <v>0</v>
      </c>
      <c r="L15" s="21">
        <f>ROUND((K15-J15)*F$41,-2)</f>
        <v>-478400</v>
      </c>
      <c r="M15" s="7"/>
      <c r="N15" s="44"/>
      <c r="O15" s="23">
        <f>IF(OR(N15="",F15=""),J15,(F15+N15)/$F$41)</f>
        <v>3.8154194540797798E-2</v>
      </c>
      <c r="P15" s="15" t="s">
        <v>42</v>
      </c>
    </row>
    <row r="16" spans="1:22" s="58" customFormat="1" x14ac:dyDescent="0.2">
      <c r="A16" s="58" t="s">
        <v>78</v>
      </c>
      <c r="B16" s="14" t="s">
        <v>107</v>
      </c>
      <c r="C16" s="14" t="s">
        <v>128</v>
      </c>
      <c r="D16" s="48" t="str">
        <f t="shared" si="1"/>
        <v>OK</v>
      </c>
      <c r="E16" s="58" t="s">
        <v>88</v>
      </c>
      <c r="F16" s="8">
        <v>1113306.93</v>
      </c>
      <c r="G16" s="58">
        <v>417672.83</v>
      </c>
      <c r="H16" s="58" t="s">
        <v>100</v>
      </c>
      <c r="J16" s="6">
        <f>F16/F$41</f>
        <v>8.8787024203862031E-2</v>
      </c>
      <c r="K16" s="3">
        <v>0</v>
      </c>
      <c r="L16" s="21">
        <f>ROUND((K16-J16)*F$41,-2)</f>
        <v>-1113300</v>
      </c>
      <c r="M16" s="7"/>
      <c r="N16" s="44"/>
      <c r="O16" s="23">
        <f>IF(OR(N16="",F16=""),J16,(F16+N16)/$F$41)</f>
        <v>8.8787024203862031E-2</v>
      </c>
      <c r="P16" s="15" t="s">
        <v>42</v>
      </c>
    </row>
    <row r="17" spans="1:16" s="58" customFormat="1" x14ac:dyDescent="0.2">
      <c r="A17" s="58" t="s">
        <v>78</v>
      </c>
      <c r="B17" s="14" t="s">
        <v>108</v>
      </c>
      <c r="C17" s="14" t="s">
        <v>129</v>
      </c>
      <c r="D17" s="48" t="str">
        <f t="shared" si="1"/>
        <v>OK</v>
      </c>
      <c r="E17" s="58" t="s">
        <v>89</v>
      </c>
      <c r="F17" s="8">
        <v>323669.84000000003</v>
      </c>
      <c r="G17" s="58">
        <v>211493.62299999999</v>
      </c>
      <c r="H17" s="58" t="s">
        <v>100</v>
      </c>
      <c r="J17" s="6">
        <f>F17/F$41</f>
        <v>2.5812901315668768E-2</v>
      </c>
      <c r="K17" s="3">
        <v>0</v>
      </c>
      <c r="L17" s="21">
        <f>ROUND((K17-J17)*F$41,-2)</f>
        <v>-323700</v>
      </c>
      <c r="M17" s="7"/>
      <c r="N17" s="44"/>
      <c r="O17" s="23">
        <f>IF(OR(N17="",F17=""),J17,(F17+N17)/$F$41)</f>
        <v>2.5812901315668768E-2</v>
      </c>
      <c r="P17" s="15" t="s">
        <v>42</v>
      </c>
    </row>
    <row r="18" spans="1:16" s="58" customFormat="1" x14ac:dyDescent="0.2">
      <c r="A18" s="58" t="s">
        <v>44</v>
      </c>
      <c r="B18" s="14" t="s">
        <v>109</v>
      </c>
      <c r="C18" s="14" t="s">
        <v>130</v>
      </c>
      <c r="D18" s="48" t="str">
        <f t="shared" si="1"/>
        <v>OK</v>
      </c>
      <c r="E18" s="58" t="s">
        <v>90</v>
      </c>
      <c r="F18" s="8">
        <v>299955.69</v>
      </c>
      <c r="G18" s="58">
        <v>178864.45610000001</v>
      </c>
      <c r="H18" s="58" t="s">
        <v>100</v>
      </c>
      <c r="J18" s="6">
        <f>F18/F$41</f>
        <v>2.3921680886434562E-2</v>
      </c>
      <c r="K18" s="3">
        <v>0</v>
      </c>
      <c r="L18" s="21">
        <f>ROUND((K18-J18)*F$41,-2)</f>
        <v>-300000</v>
      </c>
      <c r="M18" s="7"/>
      <c r="N18" s="44"/>
      <c r="O18" s="23">
        <f>IF(OR(N18="",F18=""),J18,(F18+N18)/$F$41)</f>
        <v>2.3921680886434562E-2</v>
      </c>
      <c r="P18" s="15" t="s">
        <v>42</v>
      </c>
    </row>
    <row r="19" spans="1:16" s="58" customFormat="1" x14ac:dyDescent="0.2">
      <c r="A19" s="58" t="s">
        <v>78</v>
      </c>
      <c r="B19" s="14" t="s">
        <v>110</v>
      </c>
      <c r="C19" s="14" t="s">
        <v>131</v>
      </c>
      <c r="D19" s="48" t="str">
        <f t="shared" si="1"/>
        <v>OK</v>
      </c>
      <c r="E19" s="58" t="s">
        <v>91</v>
      </c>
      <c r="F19" s="8">
        <v>215807.75</v>
      </c>
      <c r="G19" s="58">
        <v>213607.595</v>
      </c>
      <c r="H19" s="58" t="s">
        <v>100</v>
      </c>
      <c r="J19" s="6">
        <f>F19/F$41</f>
        <v>1.7210822466209752E-2</v>
      </c>
      <c r="K19" s="3">
        <v>0</v>
      </c>
      <c r="L19" s="21">
        <f>ROUND((K19-J19)*F$41,-2)</f>
        <v>-215800</v>
      </c>
      <c r="M19" s="7"/>
      <c r="N19" s="44"/>
      <c r="O19" s="23">
        <f>IF(OR(N19="",F19=""),J19,(F19+N19)/$F$41)</f>
        <v>1.7210822466209752E-2</v>
      </c>
      <c r="P19" s="15" t="s">
        <v>42</v>
      </c>
    </row>
    <row r="20" spans="1:16" s="58" customFormat="1" x14ac:dyDescent="0.2">
      <c r="A20" s="58" t="s">
        <v>78</v>
      </c>
      <c r="B20" s="14" t="s">
        <v>111</v>
      </c>
      <c r="C20" s="14" t="s">
        <v>132</v>
      </c>
      <c r="D20" s="48" t="str">
        <f t="shared" si="1"/>
        <v>OK</v>
      </c>
      <c r="E20" s="58" t="s">
        <v>92</v>
      </c>
      <c r="F20" s="8">
        <v>933409.82</v>
      </c>
      <c r="G20" s="58">
        <v>281631.06</v>
      </c>
      <c r="H20" s="58" t="s">
        <v>100</v>
      </c>
      <c r="J20" s="6">
        <f>F20/F$41</f>
        <v>7.4440100970594433E-2</v>
      </c>
      <c r="K20" s="3">
        <v>0</v>
      </c>
      <c r="L20" s="21">
        <f>ROUND((K20-J20)*F$41,-2)</f>
        <v>-933400</v>
      </c>
      <c r="M20" s="7"/>
      <c r="N20" s="44"/>
      <c r="O20" s="23">
        <f>IF(OR(N20="",F20=""),J20,(F20+N20)/$F$41)</f>
        <v>7.4440100970594433E-2</v>
      </c>
      <c r="P20" s="15" t="s">
        <v>49</v>
      </c>
    </row>
    <row r="21" spans="1:16" s="58" customFormat="1" x14ac:dyDescent="0.2">
      <c r="A21" s="58" t="s">
        <v>78</v>
      </c>
      <c r="B21" s="14" t="s">
        <v>112</v>
      </c>
      <c r="C21" s="14" t="s">
        <v>133</v>
      </c>
      <c r="D21" s="48" t="str">
        <f t="shared" si="1"/>
        <v>OK</v>
      </c>
      <c r="E21" s="58" t="s">
        <v>93</v>
      </c>
      <c r="F21" s="8">
        <v>652366.75</v>
      </c>
      <c r="G21" s="58">
        <v>620651.45600000001</v>
      </c>
      <c r="H21" s="58" t="s">
        <v>100</v>
      </c>
      <c r="J21" s="6">
        <f>F21/F$41</f>
        <v>5.202671506054922E-2</v>
      </c>
      <c r="K21" s="3">
        <v>0</v>
      </c>
      <c r="L21" s="21">
        <f>ROUND((K21-J21)*F$41,-2)</f>
        <v>-652400</v>
      </c>
      <c r="M21" s="7"/>
      <c r="N21" s="44"/>
      <c r="O21" s="23">
        <f>IF(OR(N21="",F21=""),J21,(F21+N21)/$F$41)</f>
        <v>5.202671506054922E-2</v>
      </c>
      <c r="P21" s="15" t="s">
        <v>42</v>
      </c>
    </row>
    <row r="22" spans="1:16" s="58" customFormat="1" x14ac:dyDescent="0.2">
      <c r="A22" s="58" t="s">
        <v>78</v>
      </c>
      <c r="B22" s="14" t="s">
        <v>113</v>
      </c>
      <c r="C22" s="14" t="s">
        <v>134</v>
      </c>
      <c r="D22" s="48" t="str">
        <f t="shared" si="1"/>
        <v>OK</v>
      </c>
      <c r="E22" s="58" t="s">
        <v>94</v>
      </c>
      <c r="F22" s="8">
        <v>563893.06999999995</v>
      </c>
      <c r="G22" s="58">
        <v>996805.853</v>
      </c>
      <c r="H22" s="58" t="s">
        <v>100</v>
      </c>
      <c r="J22" s="6">
        <f>F22/F$41</f>
        <v>4.4970875780392446E-2</v>
      </c>
      <c r="K22" s="3">
        <v>0</v>
      </c>
      <c r="L22" s="21">
        <f>ROUND((K22-J22)*F$41,-2)</f>
        <v>-563900</v>
      </c>
      <c r="M22" s="7"/>
      <c r="N22" s="44"/>
      <c r="O22" s="23">
        <f>IF(OR(N22="",F22=""),J22,(F22+N22)/$F$41)</f>
        <v>4.4970875780392446E-2</v>
      </c>
      <c r="P22" s="15" t="s">
        <v>77</v>
      </c>
    </row>
    <row r="23" spans="1:16" s="58" customFormat="1" x14ac:dyDescent="0.2">
      <c r="A23" s="58" t="s">
        <v>78</v>
      </c>
      <c r="B23" s="14" t="s">
        <v>114</v>
      </c>
      <c r="C23" s="14" t="s">
        <v>135</v>
      </c>
      <c r="D23" s="48" t="str">
        <f t="shared" si="1"/>
        <v>OK</v>
      </c>
      <c r="E23" s="58" t="s">
        <v>95</v>
      </c>
      <c r="F23" s="8">
        <v>730023.32</v>
      </c>
      <c r="G23" s="58">
        <v>658865.81000000006</v>
      </c>
      <c r="H23" s="58" t="s">
        <v>100</v>
      </c>
      <c r="J23" s="6">
        <f>F23/F$41</f>
        <v>5.8219882078901386E-2</v>
      </c>
      <c r="K23" s="3">
        <v>0</v>
      </c>
      <c r="L23" s="21">
        <f>ROUND((K23-J23)*F$41,-2)</f>
        <v>-730000</v>
      </c>
      <c r="M23" s="7"/>
      <c r="N23" s="44"/>
      <c r="O23" s="23">
        <f>IF(OR(N23="",F23=""),J23,(F23+N23)/$F$41)</f>
        <v>5.8219882078901386E-2</v>
      </c>
      <c r="P23" s="15" t="s">
        <v>46</v>
      </c>
    </row>
    <row r="24" spans="1:16" s="58" customFormat="1" x14ac:dyDescent="0.2">
      <c r="A24" s="58" t="s">
        <v>44</v>
      </c>
      <c r="B24" s="14" t="s">
        <v>115</v>
      </c>
      <c r="C24" s="14" t="s">
        <v>136</v>
      </c>
      <c r="D24" s="48" t="str">
        <f t="shared" si="1"/>
        <v>OK</v>
      </c>
      <c r="E24" s="58" t="s">
        <v>96</v>
      </c>
      <c r="F24" s="8">
        <v>465727.13</v>
      </c>
      <c r="G24" s="58">
        <v>161240.52299999999</v>
      </c>
      <c r="H24" s="58" t="s">
        <v>100</v>
      </c>
      <c r="J24" s="6">
        <f>F24/F$41</f>
        <v>3.7142071830726146E-2</v>
      </c>
      <c r="K24" s="3">
        <v>0</v>
      </c>
      <c r="L24" s="21">
        <f>ROUND((K24-J24)*F$41,-2)</f>
        <v>-465700</v>
      </c>
      <c r="M24" s="7"/>
      <c r="N24" s="44"/>
      <c r="O24" s="23">
        <f>IF(OR(N24="",F24=""),J24,(F24+N24)/$F$41)</f>
        <v>3.7142071830726146E-2</v>
      </c>
      <c r="P24" s="15" t="s">
        <v>49</v>
      </c>
    </row>
    <row r="25" spans="1:16" s="58" customFormat="1" x14ac:dyDescent="0.2">
      <c r="A25" s="58" t="s">
        <v>78</v>
      </c>
      <c r="B25" s="14" t="s">
        <v>116</v>
      </c>
      <c r="C25" s="14" t="s">
        <v>137</v>
      </c>
      <c r="D25" s="48" t="str">
        <f t="shared" si="1"/>
        <v>OK</v>
      </c>
      <c r="E25" s="58" t="s">
        <v>97</v>
      </c>
      <c r="F25" s="8">
        <v>71920.13</v>
      </c>
      <c r="G25" s="58">
        <v>39935.659299999999</v>
      </c>
      <c r="H25" s="58" t="s">
        <v>100</v>
      </c>
      <c r="J25" s="6">
        <f>F25/F$41</f>
        <v>5.7356818241083834E-3</v>
      </c>
      <c r="K25" s="3">
        <v>0</v>
      </c>
      <c r="L25" s="21">
        <f>ROUND((K25-J25)*F$41,-2)</f>
        <v>-71900</v>
      </c>
      <c r="M25" s="7"/>
      <c r="N25" s="44"/>
      <c r="O25" s="23">
        <f>IF(OR(N25="",F25=""),J25,(F25+N25)/$F$41)</f>
        <v>5.7356818241083834E-3</v>
      </c>
      <c r="P25" s="15" t="s">
        <v>50</v>
      </c>
    </row>
    <row r="26" spans="1:16" s="58" customFormat="1" x14ac:dyDescent="0.2">
      <c r="A26" s="58" t="s">
        <v>44</v>
      </c>
      <c r="B26" s="14" t="s">
        <v>117</v>
      </c>
      <c r="C26" s="14" t="s">
        <v>138</v>
      </c>
      <c r="D26" s="48" t="str">
        <f t="shared" si="1"/>
        <v>OK</v>
      </c>
      <c r="E26" s="58" t="s">
        <v>98</v>
      </c>
      <c r="F26" s="8">
        <v>374691.5</v>
      </c>
      <c r="G26" s="58">
        <v>176358.609</v>
      </c>
      <c r="H26" s="58" t="s">
        <v>100</v>
      </c>
      <c r="J26" s="6">
        <f>F26/F$41</f>
        <v>2.9881915205074105E-2</v>
      </c>
      <c r="K26" s="3">
        <v>0</v>
      </c>
      <c r="L26" s="21">
        <f>ROUND((K26-J26)*F$41,-2)</f>
        <v>-374700</v>
      </c>
      <c r="M26" s="7"/>
      <c r="N26" s="44"/>
      <c r="O26" s="23">
        <f>IF(OR(N26="",F26=""),J26,(F26+N26)/$F$41)</f>
        <v>2.9881915205074105E-2</v>
      </c>
      <c r="P26" s="15" t="s">
        <v>45</v>
      </c>
    </row>
    <row r="27" spans="1:16" s="58" customFormat="1" x14ac:dyDescent="0.2">
      <c r="A27" s="58" t="s">
        <v>78</v>
      </c>
      <c r="B27" s="14" t="s">
        <v>118</v>
      </c>
      <c r="C27" s="14" t="s">
        <v>139</v>
      </c>
      <c r="D27" s="48" t="str">
        <f t="shared" si="1"/>
        <v>OK</v>
      </c>
      <c r="E27" s="58" t="s">
        <v>99</v>
      </c>
      <c r="F27" s="8">
        <v>264617.19</v>
      </c>
      <c r="G27" s="58">
        <v>17934.312000000002</v>
      </c>
      <c r="H27" s="58" t="s">
        <v>100</v>
      </c>
      <c r="J27" s="6">
        <f>F27/F$41</f>
        <v>2.1103410227840728E-2</v>
      </c>
      <c r="K27" s="3">
        <v>0</v>
      </c>
      <c r="L27" s="21">
        <f>ROUND((K27-J27)*F$41,-2)</f>
        <v>-264600</v>
      </c>
      <c r="M27" s="7"/>
      <c r="N27" s="44"/>
      <c r="O27" s="23">
        <f>IF(OR(N27="",F27=""),J27,(F27+N27)/$F$41)</f>
        <v>2.1103410227840728E-2</v>
      </c>
      <c r="P27" s="15" t="s">
        <v>46</v>
      </c>
    </row>
    <row r="28" spans="1:16" x14ac:dyDescent="0.2">
      <c r="D28" s="48"/>
      <c r="E28" s="16"/>
      <c r="K28" s="4"/>
      <c r="L28" s="24"/>
      <c r="M28" s="17"/>
      <c r="N28" s="24"/>
      <c r="O28" s="15"/>
    </row>
    <row r="29" spans="1:16" s="59" customFormat="1" x14ac:dyDescent="0.2">
      <c r="B29" s="14" t="s">
        <v>148</v>
      </c>
      <c r="C29" s="14" t="s">
        <v>141</v>
      </c>
      <c r="D29" s="48" t="str">
        <f t="shared" si="1"/>
        <v>OK</v>
      </c>
      <c r="E29" s="16" t="s">
        <v>155</v>
      </c>
      <c r="F29" s="8">
        <v>0</v>
      </c>
      <c r="J29" s="6"/>
      <c r="K29" s="4"/>
      <c r="L29" s="24"/>
      <c r="M29" s="17"/>
      <c r="N29" s="24"/>
      <c r="O29" s="15"/>
    </row>
    <row r="30" spans="1:16" s="59" customFormat="1" x14ac:dyDescent="0.2">
      <c r="B30" s="14" t="s">
        <v>149</v>
      </c>
      <c r="C30" s="14" t="s">
        <v>142</v>
      </c>
      <c r="D30" s="48" t="str">
        <f t="shared" si="1"/>
        <v>OK</v>
      </c>
      <c r="E30" s="16" t="s">
        <v>156</v>
      </c>
      <c r="F30" s="8">
        <v>0</v>
      </c>
      <c r="J30" s="6"/>
      <c r="K30" s="4"/>
      <c r="L30" s="24"/>
      <c r="M30" s="17"/>
      <c r="N30" s="24"/>
      <c r="O30" s="15"/>
    </row>
    <row r="31" spans="1:16" s="59" customFormat="1" x14ac:dyDescent="0.2">
      <c r="B31" s="14" t="s">
        <v>150</v>
      </c>
      <c r="C31" s="14" t="s">
        <v>143</v>
      </c>
      <c r="D31" s="48" t="str">
        <f t="shared" si="1"/>
        <v>OK</v>
      </c>
      <c r="E31" s="16" t="s">
        <v>157</v>
      </c>
      <c r="F31" s="8">
        <v>0</v>
      </c>
      <c r="J31" s="6"/>
      <c r="K31" s="4"/>
      <c r="L31" s="24"/>
      <c r="M31" s="17"/>
      <c r="N31" s="24"/>
      <c r="O31" s="15"/>
    </row>
    <row r="32" spans="1:16" s="59" customFormat="1" x14ac:dyDescent="0.2">
      <c r="B32" s="14" t="s">
        <v>151</v>
      </c>
      <c r="C32" s="14" t="s">
        <v>144</v>
      </c>
      <c r="D32" s="48" t="str">
        <f t="shared" si="1"/>
        <v>OK</v>
      </c>
      <c r="E32" s="16" t="s">
        <v>158</v>
      </c>
      <c r="F32" s="8">
        <v>0</v>
      </c>
      <c r="J32" s="6"/>
      <c r="K32" s="4"/>
      <c r="L32" s="24"/>
      <c r="M32" s="17"/>
      <c r="N32" s="24"/>
      <c r="O32" s="15"/>
    </row>
    <row r="33" spans="1:16" s="59" customFormat="1" x14ac:dyDescent="0.2">
      <c r="B33" s="14" t="s">
        <v>152</v>
      </c>
      <c r="C33" s="14" t="s">
        <v>145</v>
      </c>
      <c r="D33" s="48" t="str">
        <f t="shared" si="1"/>
        <v>OK</v>
      </c>
      <c r="E33" s="16" t="s">
        <v>159</v>
      </c>
      <c r="F33" s="8">
        <v>0</v>
      </c>
      <c r="J33" s="6"/>
      <c r="K33" s="4"/>
      <c r="L33" s="24"/>
      <c r="M33" s="17"/>
      <c r="N33" s="24"/>
      <c r="O33" s="15"/>
    </row>
    <row r="34" spans="1:16" s="59" customFormat="1" x14ac:dyDescent="0.2">
      <c r="B34" s="14" t="s">
        <v>153</v>
      </c>
      <c r="C34" s="14" t="s">
        <v>146</v>
      </c>
      <c r="D34" s="48" t="str">
        <f t="shared" si="1"/>
        <v>OK</v>
      </c>
      <c r="E34" s="16" t="s">
        <v>160</v>
      </c>
      <c r="F34" s="8">
        <v>0</v>
      </c>
      <c r="J34" s="6"/>
      <c r="K34" s="4"/>
      <c r="L34" s="24"/>
      <c r="M34" s="17"/>
      <c r="N34" s="24"/>
      <c r="O34" s="15"/>
    </row>
    <row r="35" spans="1:16" s="59" customFormat="1" x14ac:dyDescent="0.2">
      <c r="B35" s="14" t="s">
        <v>154</v>
      </c>
      <c r="C35" s="14" t="s">
        <v>147</v>
      </c>
      <c r="D35" s="48" t="str">
        <f t="shared" si="1"/>
        <v>OK</v>
      </c>
      <c r="E35" s="16" t="s">
        <v>161</v>
      </c>
      <c r="F35" s="8">
        <v>0</v>
      </c>
      <c r="J35" s="6"/>
      <c r="K35" s="4"/>
      <c r="L35" s="24"/>
      <c r="M35" s="17"/>
      <c r="N35" s="24"/>
      <c r="O35" s="15"/>
    </row>
    <row r="36" spans="1:16" s="59" customFormat="1" x14ac:dyDescent="0.2">
      <c r="B36" s="14"/>
      <c r="C36" s="14"/>
      <c r="D36" s="14"/>
      <c r="E36" s="16"/>
      <c r="F36" s="8"/>
      <c r="J36" s="6"/>
      <c r="K36" s="4"/>
      <c r="L36" s="24"/>
      <c r="M36" s="17"/>
      <c r="N36" s="24"/>
      <c r="O36" s="15"/>
    </row>
    <row r="37" spans="1:16" ht="13.5" customHeight="1" thickBot="1" x14ac:dyDescent="0.25">
      <c r="E37" s="16"/>
      <c r="K37" s="4"/>
      <c r="L37" s="24"/>
      <c r="M37" s="17"/>
      <c r="N37" s="24"/>
      <c r="O37" s="15"/>
    </row>
    <row r="38" spans="1:16" ht="13.5" customHeight="1" thickBot="1" x14ac:dyDescent="0.25">
      <c r="B38" s="36" t="s">
        <v>52</v>
      </c>
      <c r="C38" s="47"/>
      <c r="D38" s="47"/>
      <c r="E38" s="37"/>
      <c r="F38" s="18">
        <v>0</v>
      </c>
      <c r="J38" s="38" t="s">
        <v>53</v>
      </c>
      <c r="K38" s="60" t="s">
        <v>35</v>
      </c>
      <c r="L38" s="61"/>
      <c r="M38" s="39" t="s">
        <v>54</v>
      </c>
    </row>
    <row r="39" spans="1:16" x14ac:dyDescent="0.2">
      <c r="A39" s="5" t="s">
        <v>44</v>
      </c>
      <c r="B39" s="64" t="s">
        <v>55</v>
      </c>
      <c r="C39" s="65"/>
      <c r="D39" s="65"/>
      <c r="E39" s="65"/>
      <c r="F39" s="35">
        <f>VALU_JC+VALU_XA-VALU_BV+$F$38</f>
        <v>1668424.1900000013</v>
      </c>
      <c r="G39" s="33">
        <v>1589100.82</v>
      </c>
      <c r="H39" s="34">
        <v>12539072.460000001</v>
      </c>
      <c r="I39" s="34">
        <v>12459749.09</v>
      </c>
      <c r="J39" s="40">
        <f>F39/F41</f>
        <v>0.13305802285793644</v>
      </c>
      <c r="K39" s="41">
        <v>0</v>
      </c>
      <c r="L39" s="42">
        <f>F39-SUM(L7:L37)</f>
        <v>12539024.190000001</v>
      </c>
      <c r="M39" s="43">
        <f>F39-SUM(N7:N38)</f>
        <v>1668424.1900000013</v>
      </c>
      <c r="O39" s="23">
        <f>$M$39/$F$41</f>
        <v>0.13305802285793644</v>
      </c>
      <c r="P39" s="5" t="s">
        <v>56</v>
      </c>
    </row>
    <row r="40" spans="1:16" x14ac:dyDescent="0.2">
      <c r="F40" s="27"/>
      <c r="G40" s="27"/>
      <c r="J40" s="23"/>
    </row>
    <row r="41" spans="1:16" x14ac:dyDescent="0.2">
      <c r="B41" s="66" t="s">
        <v>57</v>
      </c>
      <c r="C41" s="63"/>
      <c r="D41" s="63"/>
      <c r="E41" s="63"/>
      <c r="F41" s="28">
        <f>SUM(SUMIF(A:A,{"S","MF"},F:F))</f>
        <v>12539072.460000001</v>
      </c>
      <c r="I41" s="29">
        <f>MAX(J7:J39)</f>
        <v>0.13305802285793644</v>
      </c>
      <c r="J41" s="23"/>
      <c r="K41" s="6">
        <f>SUM(K7:K40)</f>
        <v>0</v>
      </c>
    </row>
    <row r="43" spans="1:16" x14ac:dyDescent="0.2">
      <c r="B43" s="62" t="str">
        <f>IF(I41&gt;0.2,"One or more of the holdings is currently over 20% of the portfolio value, please record the breach and report it to a fund manager",IF(I41&gt;0.15,"One or more of the holdings is over 15% of the portfolio value, please inform a fund manager",""))</f>
        <v/>
      </c>
      <c r="C43" s="63"/>
      <c r="D43" s="63"/>
      <c r="E43" s="63"/>
      <c r="F43" s="63"/>
      <c r="G43" s="63"/>
      <c r="H43" s="63"/>
      <c r="I43" s="63"/>
      <c r="J43" s="63"/>
      <c r="K43" s="11" t="s">
        <v>58</v>
      </c>
      <c r="L43" s="25">
        <f>SUM(L7:L28)</f>
        <v>-10870600</v>
      </c>
      <c r="M43" s="25">
        <f>SUM(N7:N28)</f>
        <v>0</v>
      </c>
      <c r="N43" s="25"/>
    </row>
    <row r="44" spans="1:16" x14ac:dyDescent="0.2">
      <c r="B44" s="63"/>
      <c r="C44" s="63"/>
      <c r="D44" s="63"/>
      <c r="E44" s="63"/>
      <c r="F44" s="63"/>
      <c r="G44" s="63"/>
      <c r="H44" s="63"/>
      <c r="I44" s="63"/>
      <c r="J44" s="63"/>
      <c r="K44" s="6" t="s">
        <v>59</v>
      </c>
      <c r="L44" s="23">
        <f>($F$39-L43)/$F$41</f>
        <v>0.9999961504329643</v>
      </c>
      <c r="M44" s="6">
        <f>($F$39-M43)/$F$41</f>
        <v>0.13305802285793644</v>
      </c>
      <c r="N44" s="23"/>
    </row>
    <row r="45" spans="1:16" x14ac:dyDescent="0.2">
      <c r="B45" s="63"/>
      <c r="C45" s="63"/>
      <c r="D45" s="63"/>
      <c r="E45" s="63"/>
      <c r="F45" s="63"/>
      <c r="G45" s="63"/>
      <c r="H45" s="63"/>
      <c r="I45" s="63"/>
      <c r="J45" s="63"/>
    </row>
    <row r="46" spans="1:16" ht="32.25" customHeight="1" x14ac:dyDescent="0.2">
      <c r="E46" s="19" t="s">
        <v>60</v>
      </c>
      <c r="F46" s="12" t="s">
        <v>61</v>
      </c>
      <c r="G46" s="19"/>
      <c r="H46" s="19"/>
      <c r="I46" s="19"/>
      <c r="J46" s="20" t="s">
        <v>62</v>
      </c>
      <c r="K46" s="20" t="s">
        <v>63</v>
      </c>
      <c r="L46" s="22" t="s">
        <v>64</v>
      </c>
      <c r="M46" s="13"/>
      <c r="N46" s="22"/>
    </row>
    <row r="47" spans="1:16" x14ac:dyDescent="0.2">
      <c r="E47" s="32" t="s">
        <v>43</v>
      </c>
      <c r="F47" s="27">
        <f>SUMIF(P:P,E47,L:L)</f>
        <v>0</v>
      </c>
      <c r="G47" s="27">
        <f>SUMIF(P:P,F47,G:G)+SUMIF(P:P,F47,O:O)</f>
        <v>0</v>
      </c>
      <c r="H47" s="27">
        <f>SUMIF(Q:Q,G47,H:H)+SUMIF(Q:Q,G47,P:P)</f>
        <v>0</v>
      </c>
      <c r="I47" s="27">
        <f>SUMIF(R:R,H47,I:I)+SUMIF(R:R,H47,Q:Q)</f>
        <v>0</v>
      </c>
      <c r="J47" s="29">
        <f>SUMIF(P:P,E47,K:K)</f>
        <v>0</v>
      </c>
      <c r="K47" s="29">
        <f>SUMIF(P:P,E47,$J:$J)</f>
        <v>0</v>
      </c>
      <c r="L47" s="23">
        <f>SUMIF(P:P,E47,O:O)</f>
        <v>0</v>
      </c>
    </row>
    <row r="48" spans="1:16" x14ac:dyDescent="0.2">
      <c r="E48" s="32" t="s">
        <v>48</v>
      </c>
      <c r="F48" s="27">
        <f>SUMIF(P:P,E48,L:L)</f>
        <v>0</v>
      </c>
      <c r="J48" s="29">
        <f>SUMIF(P:P,E48,K:K)</f>
        <v>0</v>
      </c>
      <c r="K48" s="29">
        <f>SUMIF(P:P,E48,$J:$J)</f>
        <v>0</v>
      </c>
      <c r="L48" s="23">
        <f>SUMIF(P:P,E48,O:O)</f>
        <v>0</v>
      </c>
    </row>
    <row r="49" spans="5:12" x14ac:dyDescent="0.2">
      <c r="E49" s="46" t="s">
        <v>51</v>
      </c>
      <c r="F49" s="27">
        <f>SUMIF(P:P,E49,L:L)</f>
        <v>0</v>
      </c>
      <c r="J49" s="29">
        <f>SUMIF(P:P,E49,K:K)</f>
        <v>0</v>
      </c>
      <c r="K49" s="29">
        <f>SUMIF(P:P,E49,$J:$J)</f>
        <v>0</v>
      </c>
      <c r="L49" s="23">
        <f>SUMIF(P:P,E49,O:O)</f>
        <v>0</v>
      </c>
    </row>
    <row r="50" spans="5:12" x14ac:dyDescent="0.2">
      <c r="E50" s="15" t="s">
        <v>47</v>
      </c>
      <c r="F50" s="27">
        <f>SUMIF(P:P,E50,L:L)</f>
        <v>0</v>
      </c>
      <c r="J50" s="29">
        <f>SUMIF(P:P,E50,K:K)</f>
        <v>0</v>
      </c>
      <c r="K50" s="29">
        <f>SUMIF(P:P,E50,$J:$J)</f>
        <v>0</v>
      </c>
      <c r="L50" s="23">
        <f>SUMIF(P:P,E50,O:O)</f>
        <v>0</v>
      </c>
    </row>
    <row r="51" spans="5:12" x14ac:dyDescent="0.2">
      <c r="E51" s="9" t="s">
        <v>65</v>
      </c>
      <c r="F51" s="28">
        <f>SUM(F47:F49)</f>
        <v>0</v>
      </c>
      <c r="G51" s="30"/>
      <c r="H51" s="30"/>
      <c r="I51" s="30"/>
      <c r="J51" s="26">
        <f>SUM(J47:J50)</f>
        <v>0</v>
      </c>
      <c r="K51" s="26">
        <f>SUM(K47:K50)</f>
        <v>0</v>
      </c>
      <c r="L51" s="26">
        <f>SUM(L47:L50)</f>
        <v>0</v>
      </c>
    </row>
    <row r="52" spans="5:12" x14ac:dyDescent="0.2">
      <c r="F52" s="27"/>
      <c r="J52" s="23"/>
      <c r="K52" s="23"/>
    </row>
    <row r="53" spans="5:12" x14ac:dyDescent="0.2">
      <c r="E53" s="9" t="s">
        <v>66</v>
      </c>
      <c r="F53" s="27"/>
      <c r="J53" s="23"/>
      <c r="K53" s="23"/>
    </row>
    <row r="54" spans="5:12" x14ac:dyDescent="0.2">
      <c r="E54" s="32" t="s">
        <v>46</v>
      </c>
      <c r="F54" s="27">
        <f>SUMIF(P:P,E54,L:L)</f>
        <v>-1500200</v>
      </c>
      <c r="J54" s="29">
        <f>SUMIF(P:P,E54,K:K)</f>
        <v>0</v>
      </c>
      <c r="K54" s="29">
        <f>SUMIF(P:P,E54,$J:$J)</f>
        <v>0.11964531784833468</v>
      </c>
      <c r="L54" s="23">
        <f>SUMIF(P:P,E54,O:O)</f>
        <v>0.11964531784833468</v>
      </c>
    </row>
    <row r="55" spans="5:12" x14ac:dyDescent="0.2">
      <c r="E55" s="32" t="s">
        <v>67</v>
      </c>
      <c r="F55" s="27">
        <f>SUMIF(P:P,E55,L:L)</f>
        <v>-253800</v>
      </c>
      <c r="J55" s="29">
        <f>SUMIF(P:P,E55,K:K)</f>
        <v>0</v>
      </c>
      <c r="K55" s="29">
        <f>SUMIF(P:P,E55,$J:$J)</f>
        <v>2.0239242640121082E-2</v>
      </c>
      <c r="L55" s="23">
        <f>SUMIF(P:P,E55,O:O)</f>
        <v>2.0239242640121082E-2</v>
      </c>
    </row>
    <row r="56" spans="5:12" x14ac:dyDescent="0.2">
      <c r="E56" s="32" t="s">
        <v>50</v>
      </c>
      <c r="F56" s="27">
        <f>SUMIF(P:P,E56,L:L)</f>
        <v>-716300</v>
      </c>
      <c r="J56" s="29">
        <f>SUMIF(P:P,E56,K:K)</f>
        <v>0</v>
      </c>
      <c r="K56" s="29">
        <f>SUMIF(P:P,E56,$J:$J)</f>
        <v>5.7130553498691561E-2</v>
      </c>
      <c r="L56" s="23">
        <f>SUMIF(P:P,E56,O:O)</f>
        <v>5.7130553498691561E-2</v>
      </c>
    </row>
    <row r="57" spans="5:12" x14ac:dyDescent="0.2">
      <c r="E57" s="32" t="s">
        <v>45</v>
      </c>
      <c r="F57" s="27">
        <f>SUMIF(P:P,E57,L:L)</f>
        <v>-374700</v>
      </c>
      <c r="J57" s="29">
        <f>SUMIF(P:P,E57,K:K)</f>
        <v>0</v>
      </c>
      <c r="K57" s="29">
        <f>SUMIF(P:P,E57,$J:$J)</f>
        <v>2.9881915205074105E-2</v>
      </c>
      <c r="L57" s="23">
        <f>SUMIF(P:P,E57,O:O)</f>
        <v>2.9881915205074105E-2</v>
      </c>
    </row>
    <row r="58" spans="5:12" x14ac:dyDescent="0.2">
      <c r="E58" s="32" t="s">
        <v>49</v>
      </c>
      <c r="F58" s="27">
        <f>SUMIF(P:P,E58,L:L)</f>
        <v>-1399100</v>
      </c>
      <c r="J58" s="29">
        <f>SUMIF(P:P,E58,K:K)</f>
        <v>0</v>
      </c>
      <c r="K58" s="29">
        <f>SUMIF(P:P,E58,$J:$J)</f>
        <v>0.11158217280132057</v>
      </c>
      <c r="L58" s="23">
        <f>SUMIF(P:P,E58,O:O)</f>
        <v>0.11158217280132057</v>
      </c>
    </row>
    <row r="59" spans="5:12" x14ac:dyDescent="0.2">
      <c r="E59" s="32" t="s">
        <v>42</v>
      </c>
      <c r="F59" s="27">
        <f>SUMIF(P:P,E59,L:L)</f>
        <v>-4008600</v>
      </c>
      <c r="J59" s="29">
        <f>SUMIF(P:P,E59,K:K)</f>
        <v>0</v>
      </c>
      <c r="K59" s="29">
        <f>SUMIF(P:P,E59,$J:$J)</f>
        <v>0.31968133789698189</v>
      </c>
      <c r="L59" s="23">
        <f>SUMIF(P:P,E59,O:O)</f>
        <v>0.31968133789698189</v>
      </c>
    </row>
    <row r="60" spans="5:12" x14ac:dyDescent="0.2">
      <c r="E60" s="32" t="s">
        <v>41</v>
      </c>
      <c r="F60" s="27">
        <f>SUMIF(P:P,E60,L:L)</f>
        <v>0</v>
      </c>
      <c r="J60" s="29">
        <f>SUMIF(P:P,E60,K:K)</f>
        <v>0</v>
      </c>
      <c r="K60" s="29">
        <f>SUMIF(P:P,E60,$J:$J)</f>
        <v>0</v>
      </c>
      <c r="L60" s="23">
        <f>SUMIF(P:P,E60,O:O)</f>
        <v>0</v>
      </c>
    </row>
    <row r="61" spans="5:12" x14ac:dyDescent="0.2">
      <c r="E61" s="46" t="s">
        <v>68</v>
      </c>
      <c r="F61" s="27">
        <f>SUMIF(P:P,E61,L:L)</f>
        <v>0</v>
      </c>
      <c r="J61" s="29">
        <f>SUMIF(P:P,E61,K:K)</f>
        <v>0</v>
      </c>
      <c r="K61" s="29">
        <f>SUMIF(P:P,E61,$J:$J)</f>
        <v>0</v>
      </c>
      <c r="L61" s="23">
        <f>SUMIF(P:P,E61,O:O)</f>
        <v>0</v>
      </c>
    </row>
    <row r="62" spans="5:12" x14ac:dyDescent="0.2">
      <c r="E62" s="46" t="s">
        <v>69</v>
      </c>
      <c r="F62" s="27">
        <f>SUMIF(P:P,E62,L:L)</f>
        <v>0</v>
      </c>
      <c r="J62" s="29">
        <f>SUMIF(P:P,E62,K:K)</f>
        <v>0</v>
      </c>
      <c r="K62" s="29">
        <f>SUMIF(P:P,E62,$J:$J)</f>
        <v>0</v>
      </c>
      <c r="L62" s="23">
        <f>SUMIF(P:P,E62,O:O)</f>
        <v>0</v>
      </c>
    </row>
    <row r="63" spans="5:12" x14ac:dyDescent="0.2">
      <c r="E63" s="32" t="s">
        <v>70</v>
      </c>
      <c r="F63" s="27">
        <f>SUMIF(P:P,E63,L:L)</f>
        <v>-654700</v>
      </c>
      <c r="J63" s="29">
        <f>SUMIF(P:P,E63,K:K)</f>
        <v>0</v>
      </c>
      <c r="K63" s="29">
        <f>SUMIF(P:P,E63,$J:$J)</f>
        <v>5.2216229875746319E-2</v>
      </c>
      <c r="L63" s="23">
        <f>SUMIF(P:P,E63,O:O)</f>
        <v>5.2216229875746319E-2</v>
      </c>
    </row>
    <row r="64" spans="5:12" x14ac:dyDescent="0.2">
      <c r="E64" s="9" t="s">
        <v>71</v>
      </c>
      <c r="F64" s="28">
        <f>SUM(F54:F63)</f>
        <v>-8907400</v>
      </c>
      <c r="G64" s="30"/>
      <c r="H64" s="30"/>
      <c r="I64" s="30"/>
      <c r="J64" s="31">
        <f>SUM(J54:J63)</f>
        <v>0</v>
      </c>
      <c r="K64" s="26">
        <f>SUM(K54:K63)</f>
        <v>0.71037676976627029</v>
      </c>
      <c r="L64" s="26">
        <f>SUM(L54:L63)</f>
        <v>0.71037676976627029</v>
      </c>
    </row>
    <row r="65" spans="5:12" x14ac:dyDescent="0.2">
      <c r="F65" s="27"/>
      <c r="J65" s="23"/>
      <c r="K65" s="23"/>
    </row>
    <row r="66" spans="5:12" x14ac:dyDescent="0.2">
      <c r="E66" s="5" t="s">
        <v>56</v>
      </c>
      <c r="F66" s="55">
        <f>(L66-J66)*F41</f>
        <v>1668424.1900000013</v>
      </c>
      <c r="J66" s="29">
        <f>SUMIF(P:P,E66,K:K)</f>
        <v>0</v>
      </c>
      <c r="K66" s="29">
        <f>SUMIF(P:P,E66,J:J)</f>
        <v>0.13305802285793644</v>
      </c>
      <c r="L66" s="23">
        <f>SUMIF(P:P,E66,O:O)</f>
        <v>0.13305802285793644</v>
      </c>
    </row>
    <row r="67" spans="5:12" x14ac:dyDescent="0.2">
      <c r="F67" s="23">
        <f>SUM(F51+F64+F66)</f>
        <v>-7238975.8099999987</v>
      </c>
      <c r="J67" s="23">
        <f>SUM(J51+J64+J66)</f>
        <v>0</v>
      </c>
      <c r="K67" s="23">
        <f>SUM(K51+K64+K66)</f>
        <v>0.84343479262420673</v>
      </c>
      <c r="L67" s="23">
        <f>SUM(L51+L64+L66)</f>
        <v>0.84343479262420673</v>
      </c>
    </row>
  </sheetData>
  <mergeCells count="7">
    <mergeCell ref="K38:L38"/>
    <mergeCell ref="B43:J45"/>
    <mergeCell ref="B39:E39"/>
    <mergeCell ref="B41:E41"/>
    <mergeCell ref="B1:J1"/>
    <mergeCell ref="B2:J2"/>
    <mergeCell ref="B3:J3"/>
  </mergeCells>
  <conditionalFormatting sqref="B43:J45">
    <cfRule type="expression" dxfId="18" priority="160" stopIfTrue="1">
      <formula>$I41&gt;0.2</formula>
    </cfRule>
  </conditionalFormatting>
  <conditionalFormatting sqref="K28:K38">
    <cfRule type="expression" dxfId="17" priority="85" stopIfTrue="1">
      <formula>OR(J28-K28&gt;=0.005,J28-K28&lt;=-0.005)</formula>
    </cfRule>
  </conditionalFormatting>
  <conditionalFormatting sqref="K7">
    <cfRule type="expression" dxfId="16" priority="69" stopIfTrue="1">
      <formula>OR(J7-K7&gt;=0.005,J7-K7&lt;=-0.005)</formula>
    </cfRule>
  </conditionalFormatting>
  <conditionalFormatting sqref="O7">
    <cfRule type="expression" dxfId="15" priority="63" stopIfTrue="1">
      <formula>OR(O7-K7&gt;=0.005,O7-K7&lt;=-0.005)</formula>
    </cfRule>
  </conditionalFormatting>
  <conditionalFormatting sqref="E63 L47:L50">
    <cfRule type="expression" dxfId="14" priority="56" stopIfTrue="1">
      <formula>OR($L47-$J47&gt;=0.005,$L47-$J47&lt;=-0.005)</formula>
    </cfRule>
  </conditionalFormatting>
  <conditionalFormatting sqref="E47:E48">
    <cfRule type="expression" dxfId="13" priority="54" stopIfTrue="1">
      <formula>OR($L47-$J47&gt;=0.005,$L47-$J47&lt;=-0.005)</formula>
    </cfRule>
  </conditionalFormatting>
  <conditionalFormatting sqref="E54:E60">
    <cfRule type="expression" dxfId="12" priority="52" stopIfTrue="1">
      <formula>OR($L54-$J54&gt;=0.005,$L54-$J54&lt;=-0.005)</formula>
    </cfRule>
  </conditionalFormatting>
  <conditionalFormatting sqref="U5">
    <cfRule type="expression" dxfId="11" priority="42" stopIfTrue="1">
      <formula>$M5&lt;&gt;""</formula>
    </cfRule>
  </conditionalFormatting>
  <conditionalFormatting sqref="B36:D37 B28:C35">
    <cfRule type="expression" dxfId="10" priority="41" stopIfTrue="1">
      <formula>AND(OR($B28=$V$5,$B28=$V$6),$M28&lt;&gt;"")</formula>
    </cfRule>
  </conditionalFormatting>
  <conditionalFormatting sqref="F36:F37">
    <cfRule type="expression" dxfId="9" priority="39" stopIfTrue="1">
      <formula>AND(OR($B36=$V$5,$B36=$V$6),$M36&lt;&gt;"")</formula>
    </cfRule>
  </conditionalFormatting>
  <conditionalFormatting sqref="E7 N7 E51:E191 N28:N191 E28:E49">
    <cfRule type="expression" dxfId="8" priority="161" stopIfTrue="1">
      <formula>$N7&lt;&gt;""</formula>
    </cfRule>
  </conditionalFormatting>
  <conditionalFormatting sqref="B7:E7">
    <cfRule type="expression" dxfId="7" priority="163" stopIfTrue="1">
      <formula>AND(OR($B7=$V$5,$B7=$V$6),$N7&lt;&gt;"")</formula>
    </cfRule>
  </conditionalFormatting>
  <conditionalFormatting sqref="F7">
    <cfRule type="expression" dxfId="6" priority="165" stopIfTrue="1">
      <formula>AND(OR($B7=$V$5,$B7=$V$6),$N7&lt;&gt;"")</formula>
    </cfRule>
  </conditionalFormatting>
  <conditionalFormatting sqref="L54:L63">
    <cfRule type="expression" dxfId="5" priority="26" stopIfTrue="1">
      <formula>OR($L54-$J54&gt;=0.005,$L54-$J54&lt;=-0.005)</formula>
    </cfRule>
  </conditionalFormatting>
  <conditionalFormatting sqref="K8:K27">
    <cfRule type="expression" dxfId="4" priority="2" stopIfTrue="1">
      <formula>OR(J8-K8&gt;=0.005,J8-K8&lt;=-0.005)</formula>
    </cfRule>
  </conditionalFormatting>
  <conditionalFormatting sqref="O8:O27">
    <cfRule type="expression" dxfId="3" priority="1" stopIfTrue="1">
      <formula>OR(O8-K8&gt;=0.005,O8-K8&lt;=-0.005)</formula>
    </cfRule>
  </conditionalFormatting>
  <conditionalFormatting sqref="E8:E27 N8:N27">
    <cfRule type="expression" dxfId="2" priority="3" stopIfTrue="1">
      <formula>$N8&lt;&gt;""</formula>
    </cfRule>
  </conditionalFormatting>
  <conditionalFormatting sqref="B8:E27 D28:D35">
    <cfRule type="expression" dxfId="1" priority="4" stopIfTrue="1">
      <formula>AND(OR($B8=$V$5,$B8=$V$6),$N8&lt;&gt;"")</formula>
    </cfRule>
  </conditionalFormatting>
  <conditionalFormatting sqref="F8:F35">
    <cfRule type="expression" dxfId="0" priority="5" stopIfTrue="1">
      <formula>AND(OR($B8=$V$5,$B8=$V$6),$N8&lt;&gt;"")</formula>
    </cfRule>
  </conditionalFormatting>
  <pageMargins left="0.75" right="0.75" top="1" bottom="1" header="0.5" footer="0.5"/>
  <pageSetup paperSize="9" scale="79" orientation="landscape" r:id="rId1"/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size="38" baseType="lpstr">
      <vt:lpstr>IOControl</vt:lpstr>
      <vt:lpstr>APOLLO_LINKS</vt:lpstr>
      <vt:lpstr>Rebalancer</vt:lpstr>
      <vt:lpstr>DIST_2C_COL</vt:lpstr>
      <vt:lpstr>DIST_AG_COL</vt:lpstr>
      <vt:lpstr>DIST_CV_COL</vt:lpstr>
      <vt:lpstr>DIST_D1_COL</vt:lpstr>
      <vt:lpstr>DIST_DETAIL_ROW</vt:lpstr>
      <vt:lpstr>DIST_INSERTED_ROWS</vt:lpstr>
      <vt:lpstr>DIST_LC_COL</vt:lpstr>
      <vt:lpstr>DIST_NM_COL</vt:lpstr>
      <vt:lpstr>DIST_REQ_ACCOUNT</vt:lpstr>
      <vt:lpstr>DIST_REQ_DATE</vt:lpstr>
      <vt:lpstr>DIST_REQ_FILTER_CODE_1</vt:lpstr>
      <vt:lpstr>DIST_REQ_FILTER_CODE_2</vt:lpstr>
      <vt:lpstr>DIST_REQ_FILTER_OPERAND_1</vt:lpstr>
      <vt:lpstr>DIST_REQ_FILTER_OPERAND_2</vt:lpstr>
      <vt:lpstr>DIST_REQ_FILTER_VALUE_1</vt:lpstr>
      <vt:lpstr>DIST_REQ_FILTER_VALUE_2</vt:lpstr>
      <vt:lpstr>DIST_REQ_SCTY_ONLY</vt:lpstr>
      <vt:lpstr>DIST_SN_COL</vt:lpstr>
      <vt:lpstr>DIST_U5_COL</vt:lpstr>
      <vt:lpstr>IO_DATA</vt:lpstr>
      <vt:lpstr>IO_DATA2</vt:lpstr>
      <vt:lpstr>IO_REPORT_TYPE</vt:lpstr>
      <vt:lpstr>IO_REPORT_TYPE2</vt:lpstr>
      <vt:lpstr>PARM_Account</vt:lpstr>
      <vt:lpstr>PARM_Date</vt:lpstr>
      <vt:lpstr>Rebalancer!Print_Area</vt:lpstr>
      <vt:lpstr>VALU_BV</vt:lpstr>
      <vt:lpstr>VALU_JC</vt:lpstr>
      <vt:lpstr>VALU_MN</vt:lpstr>
      <vt:lpstr>VALU_REQ_ACCOUNT</vt:lpstr>
      <vt:lpstr>VALU_REQ_CLASS</vt:lpstr>
      <vt:lpstr>VALU_REQ_DATE</vt:lpstr>
      <vt:lpstr>VALU_REQ_PERIOD_TYPE</vt:lpstr>
      <vt:lpstr>VALU_REQ_PERIODS</vt:lpstr>
      <vt:lpstr>VALU_XA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Jealous</dc:creator>
  <cp:lastModifiedBy>Richard Armstrong</cp:lastModifiedBy>
  <cp:lastPrinted>2016-07-22T13:36:06Z</cp:lastPrinted>
  <dcterms:created xsi:type="dcterms:W3CDTF">2006-02-16T14:45:42Z</dcterms:created>
  <dcterms:modified xsi:type="dcterms:W3CDTF">2022-07-15T12:22:27Z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b3f6bee-25a2-4071-976d-445ec8dd7ff4_Enabled">
    <vt:lpwstr>true</vt:lpwstr>
  </property>
  <property fmtid="{D5CDD505-2E9C-101B-9397-08002B2CF9AE}" pid="3" name="MSIP_Label_5b3f6bee-25a2-4071-976d-445ec8dd7ff4_SetDate">
    <vt:lpwstr>2022-02-24T16:22:12Z</vt:lpwstr>
  </property>
  <property fmtid="{D5CDD505-2E9C-101B-9397-08002B2CF9AE}" pid="4" name="MSIP_Label_5b3f6bee-25a2-4071-976d-445ec8dd7ff4_Method">
    <vt:lpwstr>Privileged</vt:lpwstr>
  </property>
  <property fmtid="{D5CDD505-2E9C-101B-9397-08002B2CF9AE}" pid="5" name="MSIP_Label_5b3f6bee-25a2-4071-976d-445ec8dd7ff4_Name">
    <vt:lpwstr>Public</vt:lpwstr>
  </property>
  <property fmtid="{D5CDD505-2E9C-101B-9397-08002B2CF9AE}" pid="6" name="MSIP_Label_5b3f6bee-25a2-4071-976d-445ec8dd7ff4_SiteId">
    <vt:lpwstr>2fe7c763-103c-4fdb-a047-7a3df607800d</vt:lpwstr>
  </property>
  <property fmtid="{D5CDD505-2E9C-101B-9397-08002B2CF9AE}" pid="7" name="MSIP_Label_5b3f6bee-25a2-4071-976d-445ec8dd7ff4_ActionId">
    <vt:lpwstr>f0f2e7c6-363b-475c-94f5-d6da150ca9e6</vt:lpwstr>
  </property>
  <property fmtid="{D5CDD505-2E9C-101B-9397-08002B2CF9AE}" pid="8" name="MSIP_Label_5b3f6bee-25a2-4071-976d-445ec8dd7ff4_ContentBits">
    <vt:lpwstr>0</vt:lpwstr>
  </property>
</Properties>
</file>