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PRIMA\Rebalancers\Rebalancers\"/>
    </mc:Choice>
  </mc:AlternateContent>
  <xr:revisionPtr revIDLastSave="0" documentId="8_{D5CBB9F7-7FB0-453D-9A5E-7E987A42EF71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Rebalancer!$8:$29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Rebalancer!$A$1:$Q$34</definedName>
    <definedName name="VALU_BV">Rebalancer!$I$32</definedName>
    <definedName name="VALU_JC">Rebalancer!$G$32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M36" i="3"/>
  <c r="D7" i="3" l="1"/>
  <c r="J43" i="3"/>
  <c r="J59" i="3"/>
  <c r="J56" i="3"/>
  <c r="L55" i="3"/>
  <c r="K55" i="3"/>
  <c r="J55" i="3"/>
  <c r="F55" i="3"/>
  <c r="L54" i="3"/>
  <c r="K54" i="3"/>
  <c r="J54" i="3"/>
  <c r="F54" i="3"/>
  <c r="J53" i="3"/>
  <c r="J52" i="3"/>
  <c r="J51" i="3"/>
  <c r="J50" i="3"/>
  <c r="J49" i="3"/>
  <c r="J48" i="3"/>
  <c r="J47" i="3"/>
  <c r="J42" i="3"/>
  <c r="J41" i="3"/>
  <c r="J40" i="3"/>
  <c r="K34" i="3"/>
  <c r="F32" i="3"/>
  <c r="F34" i="3" s="1" a="1"/>
  <c r="F34" i="3" s="1"/>
  <c r="B4" i="3"/>
  <c r="B3" i="3"/>
  <c r="L1" i="3"/>
  <c r="B14" i="1"/>
  <c r="B12" i="1"/>
  <c r="B5" i="1"/>
  <c r="J28" i="3" l="1"/>
  <c r="J20" i="3"/>
  <c r="J14" i="3"/>
  <c r="J8" i="3"/>
  <c r="J29" i="3"/>
  <c r="J27" i="3"/>
  <c r="J25" i="3"/>
  <c r="J23" i="3"/>
  <c r="J21" i="3"/>
  <c r="J19" i="3"/>
  <c r="J17" i="3"/>
  <c r="J15" i="3"/>
  <c r="J13" i="3"/>
  <c r="J11" i="3"/>
  <c r="J9" i="3"/>
  <c r="J26" i="3"/>
  <c r="J24" i="3"/>
  <c r="J22" i="3"/>
  <c r="J18" i="3"/>
  <c r="J16" i="3"/>
  <c r="J12" i="3"/>
  <c r="J10" i="3"/>
  <c r="J44" i="3"/>
  <c r="J57" i="3"/>
  <c r="M32" i="3"/>
  <c r="O22" i="3" l="1"/>
  <c r="L22" i="3"/>
  <c r="O19" i="3"/>
  <c r="L19" i="3"/>
  <c r="O20" i="3"/>
  <c r="L20" i="3"/>
  <c r="O24" i="3"/>
  <c r="L24" i="3"/>
  <c r="O21" i="3"/>
  <c r="L21" i="3"/>
  <c r="O28" i="3"/>
  <c r="L28" i="3"/>
  <c r="L26" i="3"/>
  <c r="O26" i="3"/>
  <c r="O23" i="3"/>
  <c r="L23" i="3"/>
  <c r="O9" i="3"/>
  <c r="L9" i="3"/>
  <c r="O25" i="3"/>
  <c r="L25" i="3"/>
  <c r="O10" i="3"/>
  <c r="L10" i="3"/>
  <c r="O11" i="3"/>
  <c r="L11" i="3"/>
  <c r="O27" i="3"/>
  <c r="L27" i="3"/>
  <c r="O12" i="3"/>
  <c r="L12" i="3"/>
  <c r="O13" i="3"/>
  <c r="L13" i="3"/>
  <c r="O29" i="3"/>
  <c r="L29" i="3"/>
  <c r="O16" i="3"/>
  <c r="L16" i="3"/>
  <c r="O15" i="3"/>
  <c r="L15" i="3"/>
  <c r="O8" i="3"/>
  <c r="L8" i="3"/>
  <c r="O18" i="3"/>
  <c r="L18" i="3"/>
  <c r="O17" i="3"/>
  <c r="L17" i="3"/>
  <c r="O14" i="3"/>
  <c r="L14" i="3"/>
  <c r="J7" i="3"/>
  <c r="K43" i="3" s="1"/>
  <c r="J60" i="3"/>
  <c r="O32" i="3"/>
  <c r="M37" i="3"/>
  <c r="J32" i="3"/>
  <c r="K56" i="3" l="1"/>
  <c r="L49" i="3"/>
  <c r="K51" i="3"/>
  <c r="K59" i="3"/>
  <c r="O7" i="3"/>
  <c r="L56" i="3" s="1"/>
  <c r="L7" i="3"/>
  <c r="F56" i="3" s="1"/>
  <c r="F41" i="3"/>
  <c r="K48" i="3"/>
  <c r="K41" i="3"/>
  <c r="I34" i="3"/>
  <c r="B36" i="3" s="1"/>
  <c r="K42" i="3"/>
  <c r="K40" i="3"/>
  <c r="K49" i="3"/>
  <c r="K50" i="3"/>
  <c r="K52" i="3"/>
  <c r="L59" i="3"/>
  <c r="F42" i="3"/>
  <c r="L42" i="3"/>
  <c r="K53" i="3"/>
  <c r="K47" i="3"/>
  <c r="F43" i="3" l="1"/>
  <c r="L36" i="3"/>
  <c r="L37" i="3" s="1"/>
  <c r="L51" i="3"/>
  <c r="L53" i="3"/>
  <c r="F48" i="3"/>
  <c r="L48" i="3"/>
  <c r="L41" i="3"/>
  <c r="F52" i="3"/>
  <c r="F49" i="3"/>
  <c r="L40" i="3"/>
  <c r="K44" i="3"/>
  <c r="K57" i="3"/>
  <c r="F59" i="3"/>
  <c r="L43" i="3"/>
  <c r="F40" i="3"/>
  <c r="G40" i="3" s="1"/>
  <c r="H40" i="3" s="1"/>
  <c r="I40" i="3" s="1"/>
  <c r="L50" i="3"/>
  <c r="F47" i="3"/>
  <c r="F51" i="3"/>
  <c r="F53" i="3"/>
  <c r="L47" i="3"/>
  <c r="L32" i="3"/>
  <c r="F50" i="3"/>
  <c r="L52" i="3"/>
  <c r="F57" i="3" l="1"/>
  <c r="K60" i="3"/>
  <c r="L44" i="3"/>
  <c r="F44" i="3"/>
  <c r="L57" i="3"/>
  <c r="F60" i="3" l="1"/>
  <c r="L6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<sst xmlns="http://schemas.openxmlformats.org/spreadsheetml/2006/main" count="241" uniqueCount="152">
  <si>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</si>
  <si>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</si>
  <si>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</si>
  <si>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</si>
  <si>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</si>
  <si>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</si>
  <si>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</si>
  <si>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</si>
  <si>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</si>
  <si>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</si>
  <si>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</si>
  <si>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</si>
  <si>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</si>
  <si>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</si>
  <si>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</si>
  <si>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</si>
  <si>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</si>
  <si>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</si>
  <si>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</si>
  <si>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</si>
  <si>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</si>
  <si>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</si>
  <si>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</si>
  <si>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</si>
  <si>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</si>
  <si>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</si>
  <si>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</si>
  <si>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</si>
  <si>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</si>
  <si>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</si>
  <si>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</si>
  <si>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</si>
  <si>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</si>
  <si>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</si>
  <si>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</si>
  <si>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</si>
  <si>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</si>
  <si>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</si>
  <si>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</si>
  <si>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</si>
  <si>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</si>
  <si>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</si>
  <si>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</si>
  <si>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</si>
  <si>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</si>
  <si>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</si>
  <si>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</si>
  <si>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</si>
  <si>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</si>
  <si>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</si>
  <si>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</si>
  <si>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</si>
  <si>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</si>
  <si>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</si>
  <si>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</si>
  <si>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</si>
  <si>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</si>
  <si>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</si>
  <si>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</si>
  <si>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</si>
  <si>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</si>
  <si>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</si>
  <si>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</si>
  <si>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</si>
  <si>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</si>
  <si>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</si>
  <si>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</si>
  <si>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</si>
  <si>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</si>
  <si>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</si>
  <si>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</si>
  <si>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</si>
  <si>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</si>
  <si>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</si>
  <si>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</si>
  <si>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</si>
  <si>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</si>
  <si>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BAILLIE GIFFORD JAPANESE B ACC</t>
  </si>
  <si>
    <t>BLACKROCK SMALLER COMPANIES TRUST (BRSC)</t>
  </si>
  <si>
    <t>STEWART INVESTORS ASA PAC LDRS B ACC GBP</t>
  </si>
  <si>
    <t>LEGAL &amp; GENERAL GLOBAL HEALTH &amp; PHARMA IND TRUST I</t>
  </si>
  <si>
    <t>CF LINDSELL TRAIN UK EQUITY ACC</t>
  </si>
  <si>
    <t>VANGUARD U.K. GOVERNMENT BOND INDEX FUND GBP ACCUM</t>
  </si>
  <si>
    <t>BAILLIE GIFFORD HIGH YIELD BOND B ACC</t>
  </si>
  <si>
    <t>VANGUARD FTSE DEVELOPED EUROPE EX UK EQUITY INDEX</t>
  </si>
  <si>
    <t>ISHARES JAPAN EQ D ACC</t>
  </si>
  <si>
    <t>ISHARES UK EQUITY INDEX (UK) D ACC</t>
  </si>
  <si>
    <t>HSBC AMERICAN INDEX C ACC</t>
  </si>
  <si>
    <t>ISHARES GILT D ACC</t>
  </si>
  <si>
    <t>INVESCO CHINA EQUITY FUND UK Z ACC</t>
  </si>
  <si>
    <t>THREADNEEDLE ICVC EMERGIN MARKETS BOND FUND ZGA</t>
  </si>
  <si>
    <t>MARLBOROUGH EUROPEAN MULTI-CAP P INC</t>
  </si>
  <si>
    <t>CIVITAS SOCIAL HOUSING PLC</t>
  </si>
  <si>
    <t>L&amp;G GLOBAL INFRASTRUCTURE INDEX FUND C ACC</t>
  </si>
  <si>
    <t>VANGUARD U.S. GOVERNMENT BOND INDEX GBP HEDGED ACC</t>
  </si>
  <si>
    <t>X TRACKERS S&amp;P 500 EQUAL WEIGHT UCITS ETF IC (GBP)</t>
  </si>
  <si>
    <t>ALLIANZ UK EQUITY INCOME FUND CLASS E SHARES INCOM</t>
  </si>
  <si>
    <t>ARTEMIS US SMALLER COMPANIES I ACC</t>
  </si>
  <si>
    <t>BLACKROCK CORPORATE BOND X ACC</t>
  </si>
  <si>
    <t>ABERDEEN ASIA PACIFIC EQUITY ENHANCED INDEX B ACC</t>
  </si>
  <si>
    <t>GBP</t>
  </si>
  <si>
    <t>EUR</t>
  </si>
  <si>
    <t>B0CNH38</t>
  </si>
  <si>
    <t>B18B9X7</t>
  </si>
  <si>
    <t>B1S7537</t>
  </si>
  <si>
    <t>B1W0GF1</t>
  </si>
  <si>
    <t>B5B71H8</t>
  </si>
  <si>
    <t>B6QQ9X9</t>
  </si>
  <si>
    <t>B7C44X9</t>
  </si>
  <si>
    <t>B80QG61</t>
  </si>
  <si>
    <t>B83RVT9</t>
  </si>
  <si>
    <t>B8N44V3</t>
  </si>
  <si>
    <t>B8Q77S7 U</t>
  </si>
  <si>
    <t>B90VHJ3</t>
  </si>
  <si>
    <t>BD8HBD3 U</t>
  </si>
  <si>
    <t>BF0TZL7</t>
  </si>
  <si>
    <t>BFRTDB6</t>
  </si>
  <si>
    <t>BLNMYC9</t>
  </si>
  <si>
    <t>BMH6XK5</t>
  </si>
  <si>
    <t>BMMV576</t>
  </si>
  <si>
    <t>BQJZV59</t>
  </si>
  <si>
    <t>BRJL7V2</t>
  </si>
  <si>
    <t>GB0006011133</t>
  </si>
  <si>
    <t>GB0006436108</t>
  </si>
  <si>
    <t>GB0033874768</t>
  </si>
  <si>
    <t>GB00B0CNH387</t>
  </si>
  <si>
    <t>GB00B18B9X76</t>
  </si>
  <si>
    <t>IE00B1S75374</t>
  </si>
  <si>
    <t>GB00B1W0GF10</t>
  </si>
  <si>
    <t>GB00B5B71H80</t>
  </si>
  <si>
    <t>GB00B6QQ9X96</t>
  </si>
  <si>
    <t>GB00B7C44X99</t>
  </si>
  <si>
    <t>GB00B80QG615</t>
  </si>
  <si>
    <t>GB00B83RVT96</t>
  </si>
  <si>
    <t>GB00B8N44V30</t>
  </si>
  <si>
    <t>GB00B8Q77S73</t>
  </si>
  <si>
    <t>GB00B90VHJ34</t>
  </si>
  <si>
    <t>GB00BD8HBD32</t>
  </si>
  <si>
    <t>GB00BF0TZL74</t>
  </si>
  <si>
    <t>IE00BFRTDB69</t>
  </si>
  <si>
    <t>IE00BLNMYC90</t>
  </si>
  <si>
    <t>GB00BMH6XK58</t>
  </si>
  <si>
    <t>GB00BMMV5766</t>
  </si>
  <si>
    <t>GB00BQJZV592</t>
  </si>
  <si>
    <t>GB00BRJL7V21</t>
  </si>
  <si>
    <t>PRIMA BALANCED FUND</t>
  </si>
  <si>
    <t>CIS</t>
  </si>
  <si>
    <t>Broker</t>
  </si>
  <si>
    <t>Global</t>
  </si>
  <si>
    <t>Bond</t>
  </si>
  <si>
    <t>Japan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</si>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</sst>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253277</v>
      </c>
      <c r="G2" t="s">
        <v>5</v>
      </c>
      <c r="H2" t="s">
        <v>6</v>
      </c>
      <c r="I2" t="s">
        <v>7</v>
      </c>
    </row>
    <row r="3" spans="1:9" x14ac:dyDescent="0.35">
      <c r="A3" t="s">
        <v>8</v>
      </c>
      <c r="B3" t="s">
        <v>9</v>
      </c>
      <c r="D3" t="s">
        <v>10</v>
      </c>
      <c r="E3" s="2">
        <v>45014</v>
      </c>
      <c r="G3" t="s">
        <v>11</v>
      </c>
      <c r="H3" t="s">
        <v>12</v>
      </c>
      <c r="I3">
        <v>0</v>
      </c>
    </row>
    <row r="5" spans="1:9" x14ac:dyDescent="0.35">
      <c r="A5" t="s">
        <v>13</v>
      </c>
      <c r="B5">
        <f>PARM_Account</f>
        <v>253277</v>
      </c>
    </row>
    <row r="6" spans="1:9" x14ac:dyDescent="0.35">
      <c r="A6" t="s">
        <v>14</v>
      </c>
      <c r="B6" s="1">
        <f>PARM_Date</f>
        <v>45014</v>
      </c>
    </row>
    <row r="7" spans="1:9" x14ac:dyDescent="0.35">
      <c r="A7" t="s">
        <v>15</v>
      </c>
      <c r="B7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8</v>
      </c>
      <c r="B10" t="s">
        <v>18</v>
      </c>
    </row>
    <row r="12" spans="1:9" x14ac:dyDescent="0.35">
      <c r="A12" t="s">
        <v>13</v>
      </c>
      <c r="B12">
        <f>PARM_Account</f>
        <v>253277</v>
      </c>
    </row>
    <row r="13" spans="1:9" x14ac:dyDescent="0.35">
      <c r="A13" t="s">
        <v>19</v>
      </c>
      <c r="B13" t="s">
        <v>20</v>
      </c>
    </row>
    <row r="14" spans="1:9" x14ac:dyDescent="0.35">
      <c r="A14" t="s">
        <v>14</v>
      </c>
      <c r="B14" s="1">
        <f>PARM_Date</f>
        <v>45014</v>
      </c>
    </row>
    <row r="15" spans="1:9" x14ac:dyDescent="0.35">
      <c r="A15" t="s">
        <v>21</v>
      </c>
      <c r="B15" t="s">
        <v>22</v>
      </c>
    </row>
    <row r="16" spans="1:9" x14ac:dyDescent="0.35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60"/>
  <sheetViews>
    <sheetView showGridLines="0" tabSelected="1" zoomScaleNormal="100" workbookViewId="0">
      <selection activeCell="Q37" sqref="Q37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0</v>
      </c>
      <c r="M1" s="50"/>
    </row>
    <row r="2" spans="1:22" ht="13.15" x14ac:dyDescent="0.4">
      <c r="B2" s="64" t="s">
        <v>145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253277</v>
      </c>
      <c r="C4" s="54"/>
      <c r="D4" s="54"/>
    </row>
    <row r="5" spans="1:22" x14ac:dyDescent="0.35">
      <c r="U5" s="5" t="s">
        <v>27</v>
      </c>
      <c r="V5" s="14" t="s">
        <v>28</v>
      </c>
    </row>
    <row r="6" spans="1:22" s="9" customFormat="1" ht="25.5" customHeight="1" x14ac:dyDescent="0.4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35">
      <c r="A7" s="5" t="s">
        <v>76</v>
      </c>
      <c r="B7" s="14">
        <v>601113</v>
      </c>
      <c r="C7" s="14" t="s">
        <v>122</v>
      </c>
      <c r="D7" s="48" t="str">
        <f t="shared" ref="D7" si="0">IF(RIGHT(LEFT(C7,11),7)=B7,"OK","CHECK")</f>
        <v>CHECK</v>
      </c>
      <c r="E7" s="5" t="s">
        <v>77</v>
      </c>
      <c r="F7" s="8">
        <v>1052144.08</v>
      </c>
      <c r="G7" s="5">
        <v>58290.531000000003</v>
      </c>
      <c r="H7" s="5" t="s">
        <v>100</v>
      </c>
      <c r="J7" s="6">
        <f>F7/F$34</f>
        <v>2.1299842395988932E-2</v>
      </c>
      <c r="K7" s="3">
        <v>0.02</v>
      </c>
      <c r="L7" s="21">
        <f>ROUND((K7-J7)*F$34,-2)</f>
        <v>-64200</v>
      </c>
      <c r="N7" s="44"/>
      <c r="O7" s="23">
        <f>IF(OR(N7="",F7=""),J7,(F7+N7)/$F$34)</f>
        <v>2.1299842395988932E-2</v>
      </c>
      <c r="P7" s="15" t="s">
        <v>70</v>
      </c>
      <c r="Q7" s="5" t="s">
        <v>146</v>
      </c>
    </row>
    <row r="8" spans="1:22" s="56" customFormat="1" x14ac:dyDescent="0.35">
      <c r="A8" s="56" t="s">
        <v>44</v>
      </c>
      <c r="B8" s="14">
        <v>643610</v>
      </c>
      <c r="C8" s="14" t="s">
        <v>123</v>
      </c>
      <c r="D8" s="48" t="str">
        <f t="shared" ref="D8:D29" si="1">IF(RIGHT(LEFT(C8,11),7)=B8,"OK","CHECK")</f>
        <v>CHECK</v>
      </c>
      <c r="E8" s="56" t="s">
        <v>78</v>
      </c>
      <c r="F8" s="8">
        <v>1805948</v>
      </c>
      <c r="G8" s="56">
        <v>141200</v>
      </c>
      <c r="H8" s="56" t="s">
        <v>100</v>
      </c>
      <c r="J8" s="6">
        <f t="shared" ref="J8:J29" si="2">F8/F$34</f>
        <v>3.6560019208919957E-2</v>
      </c>
      <c r="K8" s="3">
        <v>0.04</v>
      </c>
      <c r="L8" s="21">
        <f t="shared" ref="L8:L29" si="3">ROUND((K8-J8)*F$34,-2)</f>
        <v>169900</v>
      </c>
      <c r="M8" s="7"/>
      <c r="N8" s="44"/>
      <c r="O8" s="23">
        <f t="shared" ref="O8:O29" si="4">IF(OR(N8="",F8=""),J8,(F8+N8)/$F$34)</f>
        <v>3.6560019208919957E-2</v>
      </c>
      <c r="P8" s="15" t="s">
        <v>46</v>
      </c>
      <c r="Q8" s="56" t="s">
        <v>147</v>
      </c>
    </row>
    <row r="9" spans="1:22" s="56" customFormat="1" x14ac:dyDescent="0.35">
      <c r="A9" s="56" t="s">
        <v>76</v>
      </c>
      <c r="B9" s="14">
        <v>3387476</v>
      </c>
      <c r="C9" s="14" t="s">
        <v>124</v>
      </c>
      <c r="D9" s="48" t="str">
        <f t="shared" si="1"/>
        <v>CHECK</v>
      </c>
      <c r="E9" s="56" t="s">
        <v>79</v>
      </c>
      <c r="F9" s="8">
        <v>2085186.62</v>
      </c>
      <c r="G9" s="56">
        <v>215922.65</v>
      </c>
      <c r="H9" s="56" t="s">
        <v>100</v>
      </c>
      <c r="J9" s="6">
        <f t="shared" si="2"/>
        <v>4.2212988901885816E-2</v>
      </c>
      <c r="K9" s="3">
        <v>0.04</v>
      </c>
      <c r="L9" s="21">
        <f t="shared" si="3"/>
        <v>-109300</v>
      </c>
      <c r="M9" s="7"/>
      <c r="N9" s="44"/>
      <c r="O9" s="23">
        <f t="shared" si="4"/>
        <v>4.2212988901885816E-2</v>
      </c>
      <c r="P9" s="15" t="s">
        <v>50</v>
      </c>
      <c r="Q9" s="56" t="s">
        <v>146</v>
      </c>
    </row>
    <row r="10" spans="1:22" s="56" customFormat="1" x14ac:dyDescent="0.35">
      <c r="A10" s="56" t="s">
        <v>44</v>
      </c>
      <c r="B10" s="14" t="s">
        <v>102</v>
      </c>
      <c r="C10" s="14" t="s">
        <v>125</v>
      </c>
      <c r="D10" s="48" t="str">
        <f t="shared" si="1"/>
        <v>OK</v>
      </c>
      <c r="E10" s="56" t="s">
        <v>80</v>
      </c>
      <c r="F10" s="8">
        <v>1987999.41</v>
      </c>
      <c r="G10" s="56">
        <v>1666386.7649999999</v>
      </c>
      <c r="H10" s="56" t="s">
        <v>100</v>
      </c>
      <c r="J10" s="6">
        <f t="shared" si="2"/>
        <v>4.0245509071646327E-2</v>
      </c>
      <c r="K10" s="3">
        <v>0.04</v>
      </c>
      <c r="L10" s="21">
        <f t="shared" si="3"/>
        <v>-12100</v>
      </c>
      <c r="M10" s="7"/>
      <c r="N10" s="44"/>
      <c r="O10" s="23">
        <f t="shared" si="4"/>
        <v>4.0245509071646327E-2</v>
      </c>
      <c r="P10" s="15" t="s">
        <v>148</v>
      </c>
      <c r="Q10" s="56" t="s">
        <v>146</v>
      </c>
    </row>
    <row r="11" spans="1:22" s="56" customFormat="1" x14ac:dyDescent="0.35">
      <c r="A11" s="56" t="s">
        <v>44</v>
      </c>
      <c r="B11" s="14" t="s">
        <v>103</v>
      </c>
      <c r="C11" s="14" t="s">
        <v>126</v>
      </c>
      <c r="D11" s="48" t="str">
        <f t="shared" si="1"/>
        <v>OK</v>
      </c>
      <c r="E11" s="56" t="s">
        <v>81</v>
      </c>
      <c r="F11" s="8">
        <v>1657524.36</v>
      </c>
      <c r="G11" s="56">
        <v>324305.29499999998</v>
      </c>
      <c r="H11" s="56" t="s">
        <v>100</v>
      </c>
      <c r="J11" s="6">
        <f t="shared" si="2"/>
        <v>3.3555297517344221E-2</v>
      </c>
      <c r="K11" s="3">
        <v>0.03</v>
      </c>
      <c r="L11" s="21">
        <f t="shared" si="3"/>
        <v>-175600</v>
      </c>
      <c r="M11" s="7"/>
      <c r="N11" s="44"/>
      <c r="O11" s="23">
        <f t="shared" si="4"/>
        <v>3.3555297517344221E-2</v>
      </c>
      <c r="P11" s="15" t="s">
        <v>46</v>
      </c>
      <c r="Q11" s="56" t="s">
        <v>146</v>
      </c>
    </row>
    <row r="12" spans="1:22" s="56" customFormat="1" x14ac:dyDescent="0.35">
      <c r="A12" s="56" t="s">
        <v>76</v>
      </c>
      <c r="B12" s="14" t="s">
        <v>104</v>
      </c>
      <c r="C12" s="14" t="s">
        <v>127</v>
      </c>
      <c r="D12" s="48" t="str">
        <f t="shared" si="1"/>
        <v>OK</v>
      </c>
      <c r="E12" s="56" t="s">
        <v>82</v>
      </c>
      <c r="F12" s="8">
        <v>964510.7</v>
      </c>
      <c r="G12" s="56">
        <v>7096.88</v>
      </c>
      <c r="H12" s="56" t="s">
        <v>100</v>
      </c>
      <c r="J12" s="6">
        <f t="shared" si="2"/>
        <v>1.952577245812661E-2</v>
      </c>
      <c r="K12" s="3">
        <v>0.02</v>
      </c>
      <c r="L12" s="21">
        <f t="shared" si="3"/>
        <v>23400</v>
      </c>
      <c r="M12" s="7"/>
      <c r="N12" s="44"/>
      <c r="O12" s="23">
        <f t="shared" si="4"/>
        <v>1.952577245812661E-2</v>
      </c>
      <c r="P12" s="15" t="s">
        <v>149</v>
      </c>
      <c r="Q12" s="56" t="s">
        <v>146</v>
      </c>
    </row>
    <row r="13" spans="1:22" s="56" customFormat="1" x14ac:dyDescent="0.35">
      <c r="A13" s="56" t="s">
        <v>44</v>
      </c>
      <c r="B13" s="14" t="s">
        <v>105</v>
      </c>
      <c r="C13" s="14" t="s">
        <v>128</v>
      </c>
      <c r="D13" s="48" t="str">
        <f t="shared" si="1"/>
        <v>OK</v>
      </c>
      <c r="E13" s="56" t="s">
        <v>83</v>
      </c>
      <c r="F13" s="8">
        <v>1658043.1</v>
      </c>
      <c r="G13" s="56">
        <v>703156.53099999996</v>
      </c>
      <c r="H13" s="56" t="s">
        <v>100</v>
      </c>
      <c r="J13" s="6">
        <f t="shared" si="2"/>
        <v>3.3565799007068416E-2</v>
      </c>
      <c r="K13" s="3">
        <v>0.03</v>
      </c>
      <c r="L13" s="21">
        <f t="shared" si="3"/>
        <v>-176100</v>
      </c>
      <c r="M13" s="7"/>
      <c r="N13" s="44"/>
      <c r="O13" s="23">
        <f t="shared" si="4"/>
        <v>3.3565799007068416E-2</v>
      </c>
      <c r="P13" s="15" t="s">
        <v>149</v>
      </c>
      <c r="Q13" s="56" t="s">
        <v>146</v>
      </c>
    </row>
    <row r="14" spans="1:22" s="56" customFormat="1" x14ac:dyDescent="0.35">
      <c r="A14" s="56" t="s">
        <v>76</v>
      </c>
      <c r="B14" s="14" t="s">
        <v>106</v>
      </c>
      <c r="C14" s="14" t="s">
        <v>129</v>
      </c>
      <c r="D14" s="48" t="str">
        <f t="shared" si="1"/>
        <v>OK</v>
      </c>
      <c r="E14" s="56" t="s">
        <v>84</v>
      </c>
      <c r="F14" s="8">
        <v>3101172.14</v>
      </c>
      <c r="G14" s="56">
        <v>9197.0049999999992</v>
      </c>
      <c r="H14" s="56" t="s">
        <v>100</v>
      </c>
      <c r="J14" s="6">
        <f t="shared" si="2"/>
        <v>6.2780829242352176E-2</v>
      </c>
      <c r="K14" s="3">
        <v>0.06</v>
      </c>
      <c r="L14" s="21">
        <f t="shared" si="3"/>
        <v>-137400</v>
      </c>
      <c r="M14" s="7"/>
      <c r="N14" s="44"/>
      <c r="O14" s="23">
        <f t="shared" si="4"/>
        <v>6.2780829242352176E-2</v>
      </c>
      <c r="P14" s="15" t="s">
        <v>45</v>
      </c>
      <c r="Q14" s="56" t="s">
        <v>146</v>
      </c>
    </row>
    <row r="15" spans="1:22" s="56" customFormat="1" x14ac:dyDescent="0.35">
      <c r="A15" s="56" t="s">
        <v>44</v>
      </c>
      <c r="B15" s="14" t="s">
        <v>107</v>
      </c>
      <c r="C15" s="14" t="s">
        <v>130</v>
      </c>
      <c r="D15" s="48" t="str">
        <f t="shared" si="1"/>
        <v>OK</v>
      </c>
      <c r="E15" s="56" t="s">
        <v>85</v>
      </c>
      <c r="F15" s="8">
        <v>2130774.9300000002</v>
      </c>
      <c r="G15" s="56">
        <v>826811.11800000002</v>
      </c>
      <c r="H15" s="56" t="s">
        <v>100</v>
      </c>
      <c r="J15" s="6">
        <f t="shared" si="2"/>
        <v>4.3135888946240472E-2</v>
      </c>
      <c r="K15" s="3">
        <v>0.04</v>
      </c>
      <c r="L15" s="21">
        <f t="shared" si="3"/>
        <v>-154900</v>
      </c>
      <c r="M15" s="7"/>
      <c r="N15" s="44"/>
      <c r="O15" s="23">
        <f t="shared" si="4"/>
        <v>4.3135888946240472E-2</v>
      </c>
      <c r="P15" s="15" t="s">
        <v>150</v>
      </c>
      <c r="Q15" s="56" t="s">
        <v>146</v>
      </c>
    </row>
    <row r="16" spans="1:22" s="56" customFormat="1" x14ac:dyDescent="0.35">
      <c r="A16" s="56" t="s">
        <v>76</v>
      </c>
      <c r="B16" s="14" t="s">
        <v>108</v>
      </c>
      <c r="C16" s="14" t="s">
        <v>131</v>
      </c>
      <c r="D16" s="48" t="str">
        <f t="shared" si="1"/>
        <v>OK</v>
      </c>
      <c r="E16" s="56" t="s">
        <v>86</v>
      </c>
      <c r="F16" s="8">
        <v>2454658.79</v>
      </c>
      <c r="G16" s="56">
        <v>937178.82799999998</v>
      </c>
      <c r="H16" s="56" t="s">
        <v>100</v>
      </c>
      <c r="J16" s="6">
        <f t="shared" si="2"/>
        <v>4.9692666961476312E-2</v>
      </c>
      <c r="K16" s="3">
        <v>0.05</v>
      </c>
      <c r="L16" s="21">
        <f t="shared" si="3"/>
        <v>15200</v>
      </c>
      <c r="M16" s="7"/>
      <c r="N16" s="44"/>
      <c r="O16" s="23">
        <f t="shared" si="4"/>
        <v>4.9692666961476312E-2</v>
      </c>
      <c r="P16" s="15" t="s">
        <v>46</v>
      </c>
      <c r="Q16" s="56" t="s">
        <v>146</v>
      </c>
    </row>
    <row r="17" spans="1:17" s="56" customFormat="1" x14ac:dyDescent="0.35">
      <c r="A17" s="56" t="s">
        <v>44</v>
      </c>
      <c r="B17" s="14" t="s">
        <v>109</v>
      </c>
      <c r="C17" s="14" t="s">
        <v>132</v>
      </c>
      <c r="D17" s="48" t="str">
        <f t="shared" si="1"/>
        <v>OK</v>
      </c>
      <c r="E17" s="56" t="s">
        <v>87</v>
      </c>
      <c r="F17" s="8">
        <v>2518732.98</v>
      </c>
      <c r="G17" s="56">
        <v>279059.25</v>
      </c>
      <c r="H17" s="56" t="s">
        <v>100</v>
      </c>
      <c r="J17" s="6">
        <f t="shared" si="2"/>
        <v>5.0989799335828166E-2</v>
      </c>
      <c r="K17" s="3">
        <v>0.05</v>
      </c>
      <c r="L17" s="21">
        <f t="shared" si="3"/>
        <v>-48900</v>
      </c>
      <c r="M17" s="7"/>
      <c r="N17" s="44"/>
      <c r="O17" s="23">
        <f t="shared" si="4"/>
        <v>5.0989799335828166E-2</v>
      </c>
      <c r="P17" s="15" t="s">
        <v>49</v>
      </c>
      <c r="Q17" s="56" t="s">
        <v>146</v>
      </c>
    </row>
    <row r="18" spans="1:17" s="56" customFormat="1" x14ac:dyDescent="0.35">
      <c r="A18" s="56" t="s">
        <v>76</v>
      </c>
      <c r="B18" s="14" t="s">
        <v>110</v>
      </c>
      <c r="C18" s="14" t="s">
        <v>133</v>
      </c>
      <c r="D18" s="48" t="str">
        <f t="shared" si="1"/>
        <v>OK</v>
      </c>
      <c r="E18" s="56" t="s">
        <v>88</v>
      </c>
      <c r="F18" s="8">
        <v>1021292.43</v>
      </c>
      <c r="G18" s="56">
        <v>811902.72199999995</v>
      </c>
      <c r="H18" s="56" t="s">
        <v>100</v>
      </c>
      <c r="J18" s="6">
        <f t="shared" si="2"/>
        <v>2.0675274625141224E-2</v>
      </c>
      <c r="K18" s="3">
        <v>0.02</v>
      </c>
      <c r="L18" s="21">
        <f t="shared" si="3"/>
        <v>-33400</v>
      </c>
      <c r="M18" s="7"/>
      <c r="N18" s="44"/>
      <c r="O18" s="23">
        <f t="shared" si="4"/>
        <v>2.0675274625141224E-2</v>
      </c>
      <c r="P18" s="15" t="s">
        <v>149</v>
      </c>
      <c r="Q18" s="56" t="s">
        <v>146</v>
      </c>
    </row>
    <row r="19" spans="1:17" s="56" customFormat="1" x14ac:dyDescent="0.35">
      <c r="A19" s="56" t="s">
        <v>76</v>
      </c>
      <c r="B19" s="14" t="s">
        <v>111</v>
      </c>
      <c r="C19" s="14" t="s">
        <v>134</v>
      </c>
      <c r="D19" s="48" t="str">
        <f t="shared" si="1"/>
        <v>OK</v>
      </c>
      <c r="E19" s="56" t="s">
        <v>89</v>
      </c>
      <c r="F19" s="8">
        <v>2782826.52</v>
      </c>
      <c r="G19" s="56">
        <v>599424.13</v>
      </c>
      <c r="H19" s="56" t="s">
        <v>100</v>
      </c>
      <c r="J19" s="6">
        <f t="shared" si="2"/>
        <v>5.633616860856009E-2</v>
      </c>
      <c r="K19" s="3">
        <v>0.06</v>
      </c>
      <c r="L19" s="21">
        <f t="shared" si="3"/>
        <v>181000</v>
      </c>
      <c r="M19" s="7"/>
      <c r="N19" s="44"/>
      <c r="O19" s="23">
        <f t="shared" si="4"/>
        <v>5.633616860856009E-2</v>
      </c>
      <c r="P19" s="15" t="s">
        <v>50</v>
      </c>
      <c r="Q19" s="56" t="s">
        <v>146</v>
      </c>
    </row>
    <row r="20" spans="1:17" s="56" customFormat="1" x14ac:dyDescent="0.35">
      <c r="A20" s="56" t="s">
        <v>44</v>
      </c>
      <c r="B20" s="14" t="s">
        <v>112</v>
      </c>
      <c r="C20" s="14" t="s">
        <v>135</v>
      </c>
      <c r="D20" s="48" t="str">
        <f t="shared" si="1"/>
        <v>CHECK</v>
      </c>
      <c r="E20" s="56" t="s">
        <v>90</v>
      </c>
      <c r="F20" s="8">
        <v>993496.96</v>
      </c>
      <c r="G20" s="56">
        <v>652714.64130000002</v>
      </c>
      <c r="H20" s="56" t="s">
        <v>100</v>
      </c>
      <c r="J20" s="6">
        <f t="shared" si="2"/>
        <v>2.0112576852491643E-2</v>
      </c>
      <c r="K20" s="3">
        <v>0.02</v>
      </c>
      <c r="L20" s="21">
        <f t="shared" si="3"/>
        <v>-5600</v>
      </c>
      <c r="M20" s="7"/>
      <c r="N20" s="44"/>
      <c r="O20" s="23">
        <f t="shared" si="4"/>
        <v>2.0112576852491643E-2</v>
      </c>
      <c r="P20" s="15" t="s">
        <v>149</v>
      </c>
      <c r="Q20" s="56" t="s">
        <v>146</v>
      </c>
    </row>
    <row r="21" spans="1:17" s="56" customFormat="1" x14ac:dyDescent="0.35">
      <c r="A21" s="56" t="s">
        <v>76</v>
      </c>
      <c r="B21" s="14" t="s">
        <v>113</v>
      </c>
      <c r="C21" s="14" t="s">
        <v>136</v>
      </c>
      <c r="D21" s="48" t="str">
        <f t="shared" si="1"/>
        <v>OK</v>
      </c>
      <c r="E21" s="56" t="s">
        <v>91</v>
      </c>
      <c r="F21" s="8">
        <v>1893458.61</v>
      </c>
      <c r="G21" s="56">
        <v>265383.55800000002</v>
      </c>
      <c r="H21" s="56" t="s">
        <v>100</v>
      </c>
      <c r="J21" s="6">
        <f t="shared" si="2"/>
        <v>3.8331603763173072E-2</v>
      </c>
      <c r="K21" s="3">
        <v>0.04</v>
      </c>
      <c r="L21" s="21">
        <f t="shared" si="3"/>
        <v>82400</v>
      </c>
      <c r="M21" s="7"/>
      <c r="N21" s="44"/>
      <c r="O21" s="23">
        <f t="shared" si="4"/>
        <v>3.8331603763173072E-2</v>
      </c>
      <c r="P21" s="15" t="s">
        <v>45</v>
      </c>
      <c r="Q21" s="56" t="s">
        <v>146</v>
      </c>
    </row>
    <row r="22" spans="1:17" s="56" customFormat="1" x14ac:dyDescent="0.35">
      <c r="A22" s="56" t="s">
        <v>44</v>
      </c>
      <c r="B22" s="14" t="s">
        <v>114</v>
      </c>
      <c r="C22" s="14" t="s">
        <v>137</v>
      </c>
      <c r="D22" s="48" t="str">
        <f t="shared" si="1"/>
        <v>CHECK</v>
      </c>
      <c r="E22" s="56" t="s">
        <v>92</v>
      </c>
      <c r="F22" s="8">
        <v>931864.03</v>
      </c>
      <c r="G22" s="56">
        <v>1793771</v>
      </c>
      <c r="H22" s="56" t="s">
        <v>100</v>
      </c>
      <c r="J22" s="6">
        <f t="shared" si="2"/>
        <v>1.8864865896970215E-2</v>
      </c>
      <c r="K22" s="3">
        <v>0.02</v>
      </c>
      <c r="L22" s="21">
        <f t="shared" si="3"/>
        <v>56100</v>
      </c>
      <c r="M22" s="7"/>
      <c r="N22" s="44"/>
      <c r="O22" s="23">
        <f t="shared" si="4"/>
        <v>1.8864865896970215E-2</v>
      </c>
      <c r="P22" s="15" t="s">
        <v>151</v>
      </c>
      <c r="Q22" s="56" t="s">
        <v>147</v>
      </c>
    </row>
    <row r="23" spans="1:17" s="56" customFormat="1" x14ac:dyDescent="0.35">
      <c r="A23" s="56" t="s">
        <v>44</v>
      </c>
      <c r="B23" s="14" t="s">
        <v>115</v>
      </c>
      <c r="C23" s="14" t="s">
        <v>138</v>
      </c>
      <c r="D23" s="48" t="str">
        <f t="shared" si="1"/>
        <v>OK</v>
      </c>
      <c r="E23" s="56" t="s">
        <v>93</v>
      </c>
      <c r="F23" s="8">
        <v>2469077.5499999998</v>
      </c>
      <c r="G23" s="56">
        <v>3214526.1639999999</v>
      </c>
      <c r="H23" s="56" t="s">
        <v>100</v>
      </c>
      <c r="J23" s="6">
        <f t="shared" si="2"/>
        <v>4.9984563595581392E-2</v>
      </c>
      <c r="K23" s="3">
        <v>0.05</v>
      </c>
      <c r="L23" s="21">
        <f t="shared" si="3"/>
        <v>800</v>
      </c>
      <c r="M23" s="7"/>
      <c r="N23" s="44"/>
      <c r="O23" s="23">
        <f t="shared" si="4"/>
        <v>4.9984563595581392E-2</v>
      </c>
      <c r="P23" s="15" t="s">
        <v>148</v>
      </c>
      <c r="Q23" s="56" t="s">
        <v>146</v>
      </c>
    </row>
    <row r="24" spans="1:17" s="56" customFormat="1" x14ac:dyDescent="0.35">
      <c r="A24" s="56" t="s">
        <v>76</v>
      </c>
      <c r="B24" s="14" t="s">
        <v>116</v>
      </c>
      <c r="C24" s="14" t="s">
        <v>139</v>
      </c>
      <c r="D24" s="48" t="str">
        <f t="shared" si="1"/>
        <v>OK</v>
      </c>
      <c r="E24" s="56" t="s">
        <v>94</v>
      </c>
      <c r="F24" s="8">
        <v>997801.35</v>
      </c>
      <c r="G24" s="56">
        <v>9752.43</v>
      </c>
      <c r="H24" s="56" t="s">
        <v>100</v>
      </c>
      <c r="J24" s="6">
        <f t="shared" si="2"/>
        <v>2.019971589585429E-2</v>
      </c>
      <c r="K24" s="3">
        <v>0.02</v>
      </c>
      <c r="L24" s="21">
        <f t="shared" si="3"/>
        <v>-9900</v>
      </c>
      <c r="M24" s="7"/>
      <c r="N24" s="44"/>
      <c r="O24" s="23">
        <f t="shared" si="4"/>
        <v>2.019971589585429E-2</v>
      </c>
      <c r="P24" s="15" t="s">
        <v>149</v>
      </c>
      <c r="Q24" s="56" t="s">
        <v>146</v>
      </c>
    </row>
    <row r="25" spans="1:17" s="56" customFormat="1" x14ac:dyDescent="0.35">
      <c r="A25" s="56" t="s">
        <v>44</v>
      </c>
      <c r="B25" s="14" t="s">
        <v>117</v>
      </c>
      <c r="C25" s="14" t="s">
        <v>140</v>
      </c>
      <c r="D25" s="48" t="str">
        <f t="shared" si="1"/>
        <v>OK</v>
      </c>
      <c r="E25" s="56" t="s">
        <v>95</v>
      </c>
      <c r="F25" s="8">
        <v>4710760.88</v>
      </c>
      <c r="G25" s="56">
        <v>77385</v>
      </c>
      <c r="H25" s="56" t="s">
        <v>101</v>
      </c>
      <c r="J25" s="6">
        <f t="shared" si="2"/>
        <v>9.5365707241531136E-2</v>
      </c>
      <c r="K25" s="3">
        <v>0.1</v>
      </c>
      <c r="L25" s="21">
        <f t="shared" si="3"/>
        <v>228900</v>
      </c>
      <c r="M25" s="7"/>
      <c r="N25" s="44"/>
      <c r="O25" s="23">
        <f t="shared" si="4"/>
        <v>9.5365707241531136E-2</v>
      </c>
      <c r="P25" s="15" t="s">
        <v>49</v>
      </c>
      <c r="Q25" s="56" t="s">
        <v>147</v>
      </c>
    </row>
    <row r="26" spans="1:17" s="56" customFormat="1" x14ac:dyDescent="0.35">
      <c r="A26" s="56" t="s">
        <v>76</v>
      </c>
      <c r="B26" s="14" t="s">
        <v>118</v>
      </c>
      <c r="C26" s="14" t="s">
        <v>141</v>
      </c>
      <c r="D26" s="48" t="str">
        <f t="shared" si="1"/>
        <v>OK</v>
      </c>
      <c r="E26" s="56" t="s">
        <v>96</v>
      </c>
      <c r="F26" s="8">
        <v>2424970.04</v>
      </c>
      <c r="G26" s="56">
        <v>2176617.9300000002</v>
      </c>
      <c r="H26" s="56" t="s">
        <v>100</v>
      </c>
      <c r="J26" s="6">
        <f t="shared" si="2"/>
        <v>4.9091641200884745E-2</v>
      </c>
      <c r="K26" s="3">
        <v>0.05</v>
      </c>
      <c r="L26" s="21">
        <f t="shared" si="3"/>
        <v>44900</v>
      </c>
      <c r="M26" s="7"/>
      <c r="N26" s="44"/>
      <c r="O26" s="23">
        <f t="shared" si="4"/>
        <v>4.9091641200884745E-2</v>
      </c>
      <c r="P26" s="15" t="s">
        <v>46</v>
      </c>
      <c r="Q26" s="56" t="s">
        <v>146</v>
      </c>
    </row>
    <row r="27" spans="1:17" s="56" customFormat="1" x14ac:dyDescent="0.35">
      <c r="A27" s="56" t="s">
        <v>44</v>
      </c>
      <c r="B27" s="14" t="s">
        <v>119</v>
      </c>
      <c r="C27" s="14" t="s">
        <v>142</v>
      </c>
      <c r="D27" s="48" t="str">
        <f t="shared" si="1"/>
        <v>OK</v>
      </c>
      <c r="E27" s="56" t="s">
        <v>97</v>
      </c>
      <c r="F27" s="8">
        <v>3467916.13</v>
      </c>
      <c r="G27" s="56">
        <v>1198105.416</v>
      </c>
      <c r="H27" s="56" t="s">
        <v>100</v>
      </c>
      <c r="J27" s="6">
        <f t="shared" si="2"/>
        <v>7.0205277409827613E-2</v>
      </c>
      <c r="K27" s="3">
        <v>7.0000000000000007E-2</v>
      </c>
      <c r="L27" s="21">
        <f t="shared" si="3"/>
        <v>-10100</v>
      </c>
      <c r="M27" s="7"/>
      <c r="N27" s="44"/>
      <c r="O27" s="23">
        <f t="shared" si="4"/>
        <v>7.0205277409827613E-2</v>
      </c>
      <c r="P27" s="15" t="s">
        <v>49</v>
      </c>
      <c r="Q27" s="56" t="s">
        <v>146</v>
      </c>
    </row>
    <row r="28" spans="1:17" s="56" customFormat="1" x14ac:dyDescent="0.35">
      <c r="A28" s="56" t="s">
        <v>44</v>
      </c>
      <c r="B28" s="14" t="s">
        <v>120</v>
      </c>
      <c r="C28" s="14" t="s">
        <v>143</v>
      </c>
      <c r="D28" s="48" t="str">
        <f t="shared" si="1"/>
        <v>OK</v>
      </c>
      <c r="E28" s="56" t="s">
        <v>98</v>
      </c>
      <c r="F28" s="8">
        <v>2841662.7</v>
      </c>
      <c r="G28" s="56">
        <v>2256720.699</v>
      </c>
      <c r="H28" s="56" t="s">
        <v>100</v>
      </c>
      <c r="J28" s="6">
        <f t="shared" si="2"/>
        <v>5.7527261525399047E-2</v>
      </c>
      <c r="K28" s="3">
        <v>0.06</v>
      </c>
      <c r="L28" s="21">
        <f t="shared" si="3"/>
        <v>122100</v>
      </c>
      <c r="M28" s="7"/>
      <c r="N28" s="44"/>
      <c r="O28" s="23">
        <f t="shared" si="4"/>
        <v>5.7527261525399047E-2</v>
      </c>
      <c r="P28" s="15" t="s">
        <v>149</v>
      </c>
      <c r="Q28" s="56" t="s">
        <v>146</v>
      </c>
    </row>
    <row r="29" spans="1:17" s="56" customFormat="1" x14ac:dyDescent="0.35">
      <c r="A29" s="56" t="s">
        <v>76</v>
      </c>
      <c r="B29" s="14" t="s">
        <v>121</v>
      </c>
      <c r="C29" s="14" t="s">
        <v>144</v>
      </c>
      <c r="D29" s="48" t="str">
        <f t="shared" si="1"/>
        <v>OK</v>
      </c>
      <c r="E29" s="56" t="s">
        <v>99</v>
      </c>
      <c r="F29" s="8">
        <v>3084307.01</v>
      </c>
      <c r="G29" s="56">
        <v>1738225.3204000001</v>
      </c>
      <c r="H29" s="56" t="s">
        <v>100</v>
      </c>
      <c r="J29" s="6">
        <f t="shared" si="2"/>
        <v>6.2439407741422495E-2</v>
      </c>
      <c r="K29" s="3">
        <v>0.06</v>
      </c>
      <c r="L29" s="21">
        <f t="shared" si="3"/>
        <v>-120500</v>
      </c>
      <c r="M29" s="7"/>
      <c r="N29" s="44"/>
      <c r="O29" s="23">
        <f t="shared" si="4"/>
        <v>6.2439407741422495E-2</v>
      </c>
      <c r="P29" s="15" t="s">
        <v>50</v>
      </c>
      <c r="Q29" s="56" t="s">
        <v>146</v>
      </c>
    </row>
    <row r="30" spans="1:17" ht="13.5" customHeight="1" thickBot="1" x14ac:dyDescent="0.4">
      <c r="E30" s="16"/>
      <c r="K30" s="4"/>
      <c r="L30" s="24"/>
      <c r="M30" s="17"/>
      <c r="N30" s="24"/>
      <c r="O30" s="15"/>
    </row>
    <row r="31" spans="1:17" ht="13.5" customHeight="1" thickBot="1" x14ac:dyDescent="0.45">
      <c r="B31" s="36" t="s">
        <v>52</v>
      </c>
      <c r="C31" s="47"/>
      <c r="D31" s="47"/>
      <c r="E31" s="37"/>
      <c r="F31" s="18">
        <v>39636.089999999997</v>
      </c>
      <c r="J31" s="38" t="s">
        <v>53</v>
      </c>
      <c r="K31" s="57" t="s">
        <v>35</v>
      </c>
      <c r="L31" s="58"/>
      <c r="M31" s="39" t="s">
        <v>54</v>
      </c>
    </row>
    <row r="32" spans="1:17" x14ac:dyDescent="0.35">
      <c r="A32" s="5" t="s">
        <v>44</v>
      </c>
      <c r="B32" s="61" t="s">
        <v>55</v>
      </c>
      <c r="C32" s="62"/>
      <c r="D32" s="62"/>
      <c r="E32" s="62"/>
      <c r="F32" s="35">
        <f>VALU_JC+VALU_XA-VALU_BV+$F$31</f>
        <v>360671.86000000325</v>
      </c>
      <c r="G32" s="33">
        <v>-176814.14</v>
      </c>
      <c r="H32" s="34">
        <v>49357165.090000004</v>
      </c>
      <c r="I32" s="34">
        <v>48859315.18</v>
      </c>
      <c r="J32" s="40">
        <f>F32/F34</f>
        <v>7.3015225962857226E-3</v>
      </c>
      <c r="K32" s="41">
        <v>0.01</v>
      </c>
      <c r="L32" s="42">
        <f>F32-SUM(L7:L30)</f>
        <v>493971.86000000325</v>
      </c>
      <c r="M32" s="43">
        <f>F32-SUM(N7:N31)</f>
        <v>360671.86000000325</v>
      </c>
      <c r="O32" s="23">
        <f>$M$32/$F$34</f>
        <v>7.3015225962857226E-3</v>
      </c>
      <c r="P32" s="5" t="s">
        <v>56</v>
      </c>
    </row>
    <row r="33" spans="2:14" x14ac:dyDescent="0.35">
      <c r="F33" s="27"/>
      <c r="G33" s="27"/>
      <c r="J33" s="23"/>
    </row>
    <row r="34" spans="2:14" ht="13.15" x14ac:dyDescent="0.4">
      <c r="B34" s="63" t="s">
        <v>57</v>
      </c>
      <c r="C34" s="60"/>
      <c r="D34" s="60"/>
      <c r="E34" s="60"/>
      <c r="F34" s="28" cm="1">
        <f t="array" ref="F34">SUM(SUMIF(A:A,{"S","MF","G"},F:F))</f>
        <v>49396801.18</v>
      </c>
      <c r="I34" s="29">
        <f>MAX(J7:J32)</f>
        <v>9.5365707241531136E-2</v>
      </c>
      <c r="J34" s="23"/>
      <c r="K34" s="6">
        <f>SUM(K7:K33)</f>
        <v>1.0000000000000002</v>
      </c>
    </row>
    <row r="36" spans="2:14" ht="13.15" x14ac:dyDescent="0.4">
      <c r="B36" s="59" t="str">
        <f>IF(I34&gt;0.2,"One or more of the holdings is currently over 20% of the portfolio value, please record the breach and report it to a fund manager",IF(I34&gt;0.15,"One or more of the holdings is over 15% of the portfolio value, please inform a fund manager",""))</f>
        <v/>
      </c>
      <c r="C36" s="60"/>
      <c r="D36" s="60"/>
      <c r="E36" s="60"/>
      <c r="F36" s="60"/>
      <c r="G36" s="60"/>
      <c r="H36" s="60"/>
      <c r="I36" s="60"/>
      <c r="J36" s="60"/>
      <c r="K36" s="11" t="s">
        <v>58</v>
      </c>
      <c r="L36" s="25">
        <f>SUM(L7:L30)</f>
        <v>-133300</v>
      </c>
      <c r="M36" s="25">
        <f>SUM(N7:N30)</f>
        <v>0</v>
      </c>
      <c r="N36" s="25"/>
    </row>
    <row r="37" spans="2:14" x14ac:dyDescent="0.35">
      <c r="B37" s="60"/>
      <c r="C37" s="60"/>
      <c r="D37" s="60"/>
      <c r="E37" s="60"/>
      <c r="F37" s="60"/>
      <c r="G37" s="60"/>
      <c r="H37" s="60"/>
      <c r="I37" s="60"/>
      <c r="J37" s="60"/>
      <c r="K37" s="6" t="s">
        <v>59</v>
      </c>
      <c r="L37" s="23">
        <f>($F$32-L36)/$F$34</f>
        <v>1.0000077903830031E-2</v>
      </c>
      <c r="M37" s="6">
        <f>($F$32-M36)/$F$34</f>
        <v>7.3015225962857226E-3</v>
      </c>
      <c r="N37" s="23"/>
    </row>
    <row r="38" spans="2:14" x14ac:dyDescent="0.35">
      <c r="B38" s="60"/>
      <c r="C38" s="60"/>
      <c r="D38" s="60"/>
      <c r="E38" s="60"/>
      <c r="F38" s="60"/>
      <c r="G38" s="60"/>
      <c r="H38" s="60"/>
      <c r="I38" s="60"/>
      <c r="J38" s="60"/>
    </row>
    <row r="39" spans="2:14" ht="32.25" customHeight="1" x14ac:dyDescent="0.4">
      <c r="E39" s="19" t="s">
        <v>60</v>
      </c>
      <c r="F39" s="12" t="s">
        <v>61</v>
      </c>
      <c r="G39" s="19"/>
      <c r="H39" s="19"/>
      <c r="I39" s="19"/>
      <c r="J39" s="20" t="s">
        <v>62</v>
      </c>
      <c r="K39" s="20" t="s">
        <v>63</v>
      </c>
      <c r="L39" s="22" t="s">
        <v>64</v>
      </c>
      <c r="M39" s="13"/>
      <c r="N39" s="22"/>
    </row>
    <row r="40" spans="2:14" x14ac:dyDescent="0.35">
      <c r="E40" s="32" t="s">
        <v>43</v>
      </c>
      <c r="F40" s="27">
        <f>SUMIF(P:P,E40,L:L)</f>
        <v>-79500</v>
      </c>
      <c r="G40" s="27">
        <f>SUMIF(P:P,F40,G:G)+SUMIF(P:P,F40,O:O)</f>
        <v>0</v>
      </c>
      <c r="H40" s="27">
        <f>SUMIF(Q:Q,G40,H:H)+SUMIF(Q:Q,G40,P:P)</f>
        <v>0</v>
      </c>
      <c r="I40" s="27">
        <f>SUMIF(R:R,H40,I:I)+SUMIF(R:R,H40,Q:Q)</f>
        <v>0</v>
      </c>
      <c r="J40" s="29">
        <f>SUMIF(P:P,E40,K:K)</f>
        <v>0.17</v>
      </c>
      <c r="K40" s="29">
        <f>SUMIF(P:P,E40,$J:$J)</f>
        <v>0.17160640036408123</v>
      </c>
      <c r="L40" s="23">
        <f>SUMIF(P:P,E40,O:O)</f>
        <v>0.17160640036408123</v>
      </c>
    </row>
    <row r="41" spans="2:14" x14ac:dyDescent="0.35">
      <c r="E41" s="32" t="s">
        <v>48</v>
      </c>
      <c r="F41" s="27">
        <f>SUMIF(P:P,E41,L:L)</f>
        <v>56100</v>
      </c>
      <c r="J41" s="29">
        <f>SUMIF(P:P,E41,K:K)</f>
        <v>0.02</v>
      </c>
      <c r="K41" s="29">
        <f>SUMIF(P:P,E41,$J:$J)</f>
        <v>1.8864865896970215E-2</v>
      </c>
      <c r="L41" s="23">
        <f>SUMIF(P:P,E41,O:O)</f>
        <v>1.8864865896970215E-2</v>
      </c>
    </row>
    <row r="42" spans="2:14" x14ac:dyDescent="0.35">
      <c r="E42" s="46" t="s">
        <v>51</v>
      </c>
      <c r="F42" s="27">
        <f>SUMIF(P:P,E42,L:L)</f>
        <v>0</v>
      </c>
      <c r="J42" s="29">
        <f>SUMIF(P:P,E42,K:K)</f>
        <v>0</v>
      </c>
      <c r="K42" s="29">
        <f>SUMIF(P:P,E42,$J:$J)</f>
        <v>0</v>
      </c>
      <c r="L42" s="23">
        <f>SUMIF(P:P,E42,O:O)</f>
        <v>0</v>
      </c>
    </row>
    <row r="43" spans="2:14" x14ac:dyDescent="0.35">
      <c r="E43" s="15" t="s">
        <v>47</v>
      </c>
      <c r="F43" s="27">
        <f>SUMIF(P:P,E43,L:L)</f>
        <v>0</v>
      </c>
      <c r="J43" s="29">
        <f>SUMIF(P:P,E43,K:K)</f>
        <v>0</v>
      </c>
      <c r="K43" s="29">
        <f>SUMIF(P:P,E43,$J:$J)</f>
        <v>0</v>
      </c>
      <c r="L43" s="23">
        <f>SUMIF(P:P,E43,O:O)</f>
        <v>0</v>
      </c>
    </row>
    <row r="44" spans="2:14" ht="13.15" x14ac:dyDescent="0.4">
      <c r="E44" s="9" t="s">
        <v>65</v>
      </c>
      <c r="F44" s="28">
        <f>SUM(F40:F42)</f>
        <v>-23400</v>
      </c>
      <c r="G44" s="30"/>
      <c r="H44" s="30"/>
      <c r="I44" s="30"/>
      <c r="J44" s="26">
        <f>SUM(J40:J43)</f>
        <v>0.19</v>
      </c>
      <c r="K44" s="26">
        <f>SUM(K40:K43)</f>
        <v>0.19047126626105143</v>
      </c>
      <c r="L44" s="26">
        <f>SUM(L40:L43)</f>
        <v>0.19047126626105143</v>
      </c>
    </row>
    <row r="45" spans="2:14" x14ac:dyDescent="0.35">
      <c r="F45" s="27"/>
      <c r="J45" s="23"/>
      <c r="K45" s="23"/>
    </row>
    <row r="46" spans="2:14" ht="13.15" x14ac:dyDescent="0.4">
      <c r="E46" s="9" t="s">
        <v>66</v>
      </c>
      <c r="F46" s="27"/>
      <c r="J46" s="23"/>
      <c r="K46" s="23"/>
    </row>
    <row r="47" spans="2:14" x14ac:dyDescent="0.35">
      <c r="E47" s="32" t="s">
        <v>46</v>
      </c>
      <c r="F47" s="27">
        <f t="shared" ref="F47:F56" si="5">SUMIF(P:P,E47,L:L)</f>
        <v>54400</v>
      </c>
      <c r="J47" s="29">
        <f t="shared" ref="J47:J56" si="6">SUMIF(P:P,E47,K:K)</f>
        <v>0.17</v>
      </c>
      <c r="K47" s="29">
        <f t="shared" ref="K47:K56" si="7">SUMIF(P:P,E47,$J:$J)</f>
        <v>0.16889962488862523</v>
      </c>
      <c r="L47" s="23">
        <f t="shared" ref="L47:L56" si="8">SUMIF(P:P,E47,O:O)</f>
        <v>0.16889962488862523</v>
      </c>
    </row>
    <row r="48" spans="2:14" x14ac:dyDescent="0.35">
      <c r="E48" s="32" t="s">
        <v>67</v>
      </c>
      <c r="F48" s="27">
        <f t="shared" si="5"/>
        <v>0</v>
      </c>
      <c r="J48" s="29">
        <f t="shared" si="6"/>
        <v>0</v>
      </c>
      <c r="K48" s="29">
        <f t="shared" si="7"/>
        <v>0</v>
      </c>
      <c r="L48" s="23">
        <f t="shared" si="8"/>
        <v>0</v>
      </c>
    </row>
    <row r="49" spans="5:12" x14ac:dyDescent="0.35">
      <c r="E49" s="32" t="s">
        <v>50</v>
      </c>
      <c r="F49" s="27">
        <f t="shared" si="5"/>
        <v>-48800</v>
      </c>
      <c r="J49" s="29">
        <f t="shared" si="6"/>
        <v>0.16</v>
      </c>
      <c r="K49" s="29">
        <f t="shared" si="7"/>
        <v>0.16098856525186839</v>
      </c>
      <c r="L49" s="23">
        <f t="shared" si="8"/>
        <v>0.16098856525186839</v>
      </c>
    </row>
    <row r="50" spans="5:12" x14ac:dyDescent="0.35">
      <c r="E50" s="32" t="s">
        <v>45</v>
      </c>
      <c r="F50" s="27">
        <f t="shared" si="5"/>
        <v>-55000</v>
      </c>
      <c r="J50" s="29">
        <f t="shared" si="6"/>
        <v>0.1</v>
      </c>
      <c r="K50" s="29">
        <f t="shared" si="7"/>
        <v>0.10111243300552525</v>
      </c>
      <c r="L50" s="23">
        <f t="shared" si="8"/>
        <v>0.10111243300552525</v>
      </c>
    </row>
    <row r="51" spans="5:12" x14ac:dyDescent="0.35">
      <c r="E51" s="32" t="s">
        <v>49</v>
      </c>
      <c r="F51" s="27">
        <f t="shared" si="5"/>
        <v>169900</v>
      </c>
      <c r="J51" s="29">
        <f t="shared" si="6"/>
        <v>0.22000000000000003</v>
      </c>
      <c r="K51" s="29">
        <f t="shared" si="7"/>
        <v>0.21656078398718692</v>
      </c>
      <c r="L51" s="23">
        <f t="shared" si="8"/>
        <v>0.21656078398718692</v>
      </c>
    </row>
    <row r="52" spans="5:12" x14ac:dyDescent="0.35">
      <c r="E52" s="32" t="s">
        <v>42</v>
      </c>
      <c r="F52" s="27">
        <f t="shared" si="5"/>
        <v>-11300</v>
      </c>
      <c r="J52" s="29">
        <f t="shared" si="6"/>
        <v>0.09</v>
      </c>
      <c r="K52" s="29">
        <f t="shared" si="7"/>
        <v>9.0230072667227712E-2</v>
      </c>
      <c r="L52" s="23">
        <f t="shared" si="8"/>
        <v>9.0230072667227712E-2</v>
      </c>
    </row>
    <row r="53" spans="5:12" x14ac:dyDescent="0.35">
      <c r="E53" s="32" t="s">
        <v>41</v>
      </c>
      <c r="F53" s="27">
        <f t="shared" si="5"/>
        <v>0</v>
      </c>
      <c r="J53" s="29">
        <f t="shared" si="6"/>
        <v>0</v>
      </c>
      <c r="K53" s="29">
        <f t="shared" si="7"/>
        <v>0</v>
      </c>
      <c r="L53" s="23">
        <f t="shared" si="8"/>
        <v>0</v>
      </c>
    </row>
    <row r="54" spans="5:12" x14ac:dyDescent="0.35">
      <c r="E54" s="46" t="s">
        <v>68</v>
      </c>
      <c r="F54" s="27">
        <f t="shared" si="5"/>
        <v>0</v>
      </c>
      <c r="J54" s="29">
        <f t="shared" si="6"/>
        <v>0</v>
      </c>
      <c r="K54" s="29">
        <f t="shared" si="7"/>
        <v>0</v>
      </c>
      <c r="L54" s="23">
        <f t="shared" si="8"/>
        <v>0</v>
      </c>
    </row>
    <row r="55" spans="5:12" x14ac:dyDescent="0.35">
      <c r="E55" s="46" t="s">
        <v>69</v>
      </c>
      <c r="F55" s="27">
        <f t="shared" si="5"/>
        <v>0</v>
      </c>
      <c r="J55" s="29">
        <f t="shared" si="6"/>
        <v>0</v>
      </c>
      <c r="K55" s="29">
        <f t="shared" si="7"/>
        <v>0</v>
      </c>
      <c r="L55" s="23">
        <f t="shared" si="8"/>
        <v>0</v>
      </c>
    </row>
    <row r="56" spans="5:12" x14ac:dyDescent="0.35">
      <c r="E56" s="32" t="s">
        <v>70</v>
      </c>
      <c r="F56" s="27">
        <f t="shared" si="5"/>
        <v>-219100</v>
      </c>
      <c r="J56" s="29">
        <f t="shared" si="6"/>
        <v>0.06</v>
      </c>
      <c r="K56" s="29">
        <f t="shared" si="7"/>
        <v>6.4435731342229408E-2</v>
      </c>
      <c r="L56" s="23">
        <f t="shared" si="8"/>
        <v>6.4435731342229408E-2</v>
      </c>
    </row>
    <row r="57" spans="5:12" ht="13.15" x14ac:dyDescent="0.4">
      <c r="E57" s="9" t="s">
        <v>71</v>
      </c>
      <c r="F57" s="28">
        <f>SUM(F47:F56)</f>
        <v>-109900</v>
      </c>
      <c r="G57" s="30"/>
      <c r="H57" s="30"/>
      <c r="I57" s="30"/>
      <c r="J57" s="31">
        <f>SUM(J47:J56)</f>
        <v>0.8</v>
      </c>
      <c r="K57" s="26">
        <f>SUM(K47:K56)</f>
        <v>0.80222721114266293</v>
      </c>
      <c r="L57" s="26">
        <f>SUM(L47:L56)</f>
        <v>0.80222721114266293</v>
      </c>
    </row>
    <row r="58" spans="5:12" x14ac:dyDescent="0.35">
      <c r="F58" s="27"/>
      <c r="J58" s="23"/>
      <c r="K58" s="23"/>
    </row>
    <row r="59" spans="5:12" x14ac:dyDescent="0.35">
      <c r="E59" s="5" t="s">
        <v>56</v>
      </c>
      <c r="F59" s="27">
        <f>SUMIF(O:O,E59,F:F)+SUMIF(O:O,E59,L:L)</f>
        <v>0</v>
      </c>
      <c r="J59" s="29">
        <f>SUMIF(P:P,E59,K:K)</f>
        <v>0.01</v>
      </c>
      <c r="K59" s="29">
        <f>SUMIF(P:P,E59,J:J)</f>
        <v>7.3015225962857226E-3</v>
      </c>
      <c r="L59" s="23">
        <f>SUMIF(P:P,E59,O:O)</f>
        <v>7.3015225962857226E-3</v>
      </c>
    </row>
    <row r="60" spans="5:12" x14ac:dyDescent="0.35">
      <c r="F60" s="23">
        <f>SUM(F44+F57+F59)</f>
        <v>-133300</v>
      </c>
      <c r="J60" s="23">
        <f>SUM(J44+J57+J59)</f>
        <v>1</v>
      </c>
      <c r="K60" s="23">
        <f>SUM(K44+K57+K59)</f>
        <v>1.0000000000000002</v>
      </c>
      <c r="L60" s="23">
        <f>SUM(L44+L57+L59)</f>
        <v>1.0000000000000002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31:L31"/>
    <mergeCell ref="B36:J38"/>
    <mergeCell ref="B32:E32"/>
    <mergeCell ref="B34:E34"/>
    <mergeCell ref="B1:J1"/>
    <mergeCell ref="B2:J2"/>
    <mergeCell ref="B3:J3"/>
  </mergeCells>
  <conditionalFormatting sqref="B36:J38">
    <cfRule type="expression" dxfId="18" priority="185" stopIfTrue="1">
      <formula>$I34&gt;0.2</formula>
    </cfRule>
  </conditionalFormatting>
  <conditionalFormatting sqref="K30:K31">
    <cfRule type="expression" dxfId="17" priority="110" stopIfTrue="1">
      <formula>OR(J30-K30&gt;=0.005,J30-K30&lt;=-0.005)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6 L40:L43">
    <cfRule type="expression" dxfId="14" priority="81" stopIfTrue="1">
      <formula>OR($L40-$J40&gt;=0.005,$L40-$J40&lt;=-0.005)</formula>
    </cfRule>
  </conditionalFormatting>
  <conditionalFormatting sqref="E40:E41">
    <cfRule type="expression" dxfId="13" priority="79" stopIfTrue="1">
      <formula>OR($L40-$J40&gt;=0.005,$L40-$J40&lt;=-0.005)</formula>
    </cfRule>
  </conditionalFormatting>
  <conditionalFormatting sqref="E47:E53">
    <cfRule type="expression" dxfId="12" priority="77" stopIfTrue="1">
      <formula>OR($L47-$J47&gt;=0.005,$L47-$J47&lt;=-0.005)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30:D30">
    <cfRule type="expression" dxfId="10" priority="66" stopIfTrue="1">
      <formula>AND(OR($B30=$V$5,$B30=$V$6),$M30&lt;&gt;"")</formula>
    </cfRule>
  </conditionalFormatting>
  <conditionalFormatting sqref="F30">
    <cfRule type="expression" dxfId="9" priority="64" stopIfTrue="1">
      <formula>AND(OR($B30=$V$5,$B30=$V$6),$M30&lt;&gt;"")</formula>
    </cfRule>
  </conditionalFormatting>
  <conditionalFormatting sqref="E44:E184 N7 E7 E30:E42 N30:N184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7:L56">
    <cfRule type="expression" dxfId="5" priority="51" stopIfTrue="1">
      <formula>OR($L47-$J47&gt;=0.005,$L47-$J47&lt;=-0.005)</formula>
    </cfRule>
  </conditionalFormatting>
  <conditionalFormatting sqref="K8:K29">
    <cfRule type="expression" dxfId="4" priority="2" stopIfTrue="1">
      <formula>OR(J8-K8&gt;=0.005,J8-K8&lt;=-0.005)</formula>
    </cfRule>
  </conditionalFormatting>
  <conditionalFormatting sqref="O8:O29">
    <cfRule type="expression" dxfId="3" priority="1" stopIfTrue="1">
      <formula>OR(O8-K8&gt;=0.005,O8-K8&lt;=-0.005)</formula>
    </cfRule>
  </conditionalFormatting>
  <conditionalFormatting sqref="N8:N29 E8:E29">
    <cfRule type="expression" dxfId="2" priority="3" stopIfTrue="1">
      <formula>$N8&lt;&gt;""</formula>
    </cfRule>
  </conditionalFormatting>
  <conditionalFormatting sqref="B8:E29">
    <cfRule type="expression" dxfId="1" priority="4" stopIfTrue="1">
      <formula>AND(OR($B8=$V$5,$B8=$V$6),$N8&lt;&gt;"")</formula>
    </cfRule>
  </conditionalFormatting>
  <conditionalFormatting sqref="F8:F29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