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PRIMA\Rebalancers\Rebalancers\"/>
    </mc:Choice>
  </mc:AlternateContent>
  <xr:revisionPtr revIDLastSave="0" documentId="8_{231A66DF-2EA9-404E-BBA3-F4B19DECB039}" xr6:coauthVersionLast="47" xr6:coauthVersionMax="47" xr10:uidLastSave="{00000000-0000-0000-0000-000000000000}"/>
  <bookViews>
    <workbookView xWindow="-120" yWindow="-120" windowWidth="29040" windowHeight="1536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Rebalancer!$8:$24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Rebalancer!$A$1:$Q$29</definedName>
    <definedName name="VALU_BV">Rebalancer!$I$27</definedName>
    <definedName name="VALU_JC">Rebalancer!$G$27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3" l="1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M31" i="3"/>
  <c r="D7" i="3" l="1"/>
  <c r="J38" i="3"/>
  <c r="J54" i="3"/>
  <c r="J51" i="3"/>
  <c r="L50" i="3"/>
  <c r="K50" i="3"/>
  <c r="J50" i="3"/>
  <c r="F50" i="3"/>
  <c r="L49" i="3"/>
  <c r="K49" i="3"/>
  <c r="J49" i="3"/>
  <c r="F49" i="3"/>
  <c r="J48" i="3"/>
  <c r="J47" i="3"/>
  <c r="J46" i="3"/>
  <c r="J45" i="3"/>
  <c r="J44" i="3"/>
  <c r="J43" i="3"/>
  <c r="J42" i="3"/>
  <c r="J37" i="3"/>
  <c r="J36" i="3"/>
  <c r="J35" i="3"/>
  <c r="K29" i="3"/>
  <c r="F27" i="3"/>
  <c r="F29" i="3" s="1" a="1"/>
  <c r="F29" i="3" s="1"/>
  <c r="B4" i="3"/>
  <c r="B3" i="3"/>
  <c r="L1" i="3"/>
  <c r="B14" i="1"/>
  <c r="B12" i="1"/>
  <c r="B5" i="1"/>
  <c r="J24" i="3" l="1"/>
  <c r="J18" i="3"/>
  <c r="J14" i="3"/>
  <c r="J10" i="3"/>
  <c r="J23" i="3"/>
  <c r="J17" i="3"/>
  <c r="J11" i="3"/>
  <c r="J22" i="3"/>
  <c r="J20" i="3"/>
  <c r="J16" i="3"/>
  <c r="J12" i="3"/>
  <c r="J8" i="3"/>
  <c r="J19" i="3"/>
  <c r="J13" i="3"/>
  <c r="J21" i="3"/>
  <c r="J15" i="3"/>
  <c r="J9" i="3"/>
  <c r="J39" i="3"/>
  <c r="J52" i="3"/>
  <c r="M27" i="3"/>
  <c r="O16" i="3" l="1"/>
  <c r="L16" i="3"/>
  <c r="O18" i="3"/>
  <c r="L18" i="3"/>
  <c r="L9" i="3"/>
  <c r="O9" i="3"/>
  <c r="O20" i="3"/>
  <c r="L20" i="3"/>
  <c r="O24" i="3"/>
  <c r="L24" i="3"/>
  <c r="L15" i="3"/>
  <c r="O15" i="3"/>
  <c r="O22" i="3"/>
  <c r="L22" i="3"/>
  <c r="L21" i="3"/>
  <c r="O21" i="3"/>
  <c r="L11" i="3"/>
  <c r="O11" i="3"/>
  <c r="L17" i="3"/>
  <c r="O17" i="3"/>
  <c r="O12" i="3"/>
  <c r="L12" i="3"/>
  <c r="O14" i="3"/>
  <c r="L14" i="3"/>
  <c r="O13" i="3"/>
  <c r="L13" i="3"/>
  <c r="O19" i="3"/>
  <c r="L19" i="3"/>
  <c r="L23" i="3"/>
  <c r="O23" i="3"/>
  <c r="O8" i="3"/>
  <c r="L8" i="3"/>
  <c r="O10" i="3"/>
  <c r="L10" i="3"/>
  <c r="J7" i="3"/>
  <c r="K38" i="3" s="1"/>
  <c r="J55" i="3"/>
  <c r="O27" i="3"/>
  <c r="M32" i="3"/>
  <c r="J27" i="3"/>
  <c r="K51" i="3" l="1"/>
  <c r="L44" i="3"/>
  <c r="K46" i="3"/>
  <c r="K54" i="3"/>
  <c r="O7" i="3"/>
  <c r="L7" i="3"/>
  <c r="F36" i="3"/>
  <c r="K43" i="3"/>
  <c r="K36" i="3"/>
  <c r="I29" i="3"/>
  <c r="B31" i="3" s="1"/>
  <c r="K37" i="3"/>
  <c r="K35" i="3"/>
  <c r="L51" i="3"/>
  <c r="F51" i="3"/>
  <c r="K44" i="3"/>
  <c r="K45" i="3"/>
  <c r="K47" i="3"/>
  <c r="L54" i="3"/>
  <c r="F37" i="3"/>
  <c r="L37" i="3"/>
  <c r="K48" i="3"/>
  <c r="K42" i="3"/>
  <c r="F38" i="3" l="1"/>
  <c r="L31" i="3"/>
  <c r="L32" i="3" s="1"/>
  <c r="L46" i="3"/>
  <c r="L48" i="3"/>
  <c r="F43" i="3"/>
  <c r="L43" i="3"/>
  <c r="L36" i="3"/>
  <c r="F47" i="3"/>
  <c r="F44" i="3"/>
  <c r="L35" i="3"/>
  <c r="K39" i="3"/>
  <c r="K52" i="3"/>
  <c r="F54" i="3"/>
  <c r="L38" i="3"/>
  <c r="F35" i="3"/>
  <c r="G35" i="3" s="1"/>
  <c r="H35" i="3" s="1"/>
  <c r="I35" i="3" s="1"/>
  <c r="L45" i="3"/>
  <c r="F42" i="3"/>
  <c r="F46" i="3"/>
  <c r="F48" i="3"/>
  <c r="L42" i="3"/>
  <c r="L27" i="3"/>
  <c r="F45" i="3"/>
  <c r="L47" i="3"/>
  <c r="F52" i="3" l="1"/>
  <c r="K55" i="3"/>
  <c r="L39" i="3"/>
  <c r="F39" i="3"/>
  <c r="L52" i="3"/>
  <c r="F55" i="3" l="1"/>
  <c r="L5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<sst xmlns="http://schemas.openxmlformats.org/spreadsheetml/2006/main" count="208" uniqueCount="140">
  <si>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</si>
  <si>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</si>
  <si>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</si>
  <si>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</si>
  <si>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</si>
  <si>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</si>
  <si>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</si>
  <si>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</si>
  <si>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</si>
  <si>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</si>
  <si>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</si>
  <si>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</si>
  <si>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</si>
  <si>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</si>
  <si>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</si>
  <si>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</si>
  <si>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</si>
  <si>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</si>
  <si>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</si>
  <si>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</si>
  <si>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</si>
  <si>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</si>
  <si>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</si>
  <si>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</si>
  <si>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</si>
  <si>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</si>
  <si>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</si>
  <si>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</si>
  <si>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</si>
  <si>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</si>
  <si>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</si>
  <si>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</si>
  <si>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</si>
  <si>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</si>
  <si>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</si>
  <si>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</si>
  <si>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</si>
  <si>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</si>
  <si>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</si>
  <si>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</si>
  <si>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</si>
  <si>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</si>
  <si>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</si>
  <si>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</si>
  <si>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</si>
  <si>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</si>
  <si>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</si>
  <si>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</si>
  <si>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</si>
  <si>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</si>
  <si>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</si>
  <si>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</si>
  <si>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</si>
  <si>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</si>
  <si>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</si>
  <si>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</si>
  <si>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</si>
  <si>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</si>
  <si>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</si>
  <si>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</si>
  <si>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</si>
  <si>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</si>
  <si>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</si>
  <si>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</si>
  <si>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</si>
  <si>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</si>
  <si>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</si>
  <si>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</si>
  <si>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</si>
  <si>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</si>
  <si>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</si>
  <si>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</si>
  <si>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</si>
  <si>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</si>
  <si>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</si>
  <si>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</si>
  <si>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</si>
  <si>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BAILLIE GIFFORD JAPANESE B ACC</t>
  </si>
  <si>
    <t>CF LINDSELL TRAIN UK EQUITY ACC</t>
  </si>
  <si>
    <t>VANGUARD U.K. GOVERNMENT BOND INDEX FUND GBP ACCUM</t>
  </si>
  <si>
    <t>BAILLIE GIFFORD HIGH YIELD BOND B ACC</t>
  </si>
  <si>
    <t>VANGUARD FTSE DEVELOPED EUROPE EX UK EQUITY INDEX</t>
  </si>
  <si>
    <t>ROYAL LONDON STERLING CREDIT FUND M ACC</t>
  </si>
  <si>
    <t>MARLBOROUGH EUROPEAN MULTI-CAP P INC</t>
  </si>
  <si>
    <t>VANGUARD UK SHORT-TERM BOND INDEX GBP ACC</t>
  </si>
  <si>
    <t>CIVITAS SOCIAL HOUSING PLC</t>
  </si>
  <si>
    <t>ISHARES USD TRS 1-3Y GBP-H D</t>
  </si>
  <si>
    <t>L&amp;G GLOBAL INFRASTRUCTURE INDEX FUND C ACC</t>
  </si>
  <si>
    <t>iShares Edge MSCI Wrld Min Vol ETF Hedged Acc</t>
  </si>
  <si>
    <t>ARTEMIS STRATEGIC BOND FUND I MONTHLY ACC</t>
  </si>
  <si>
    <t>ARTEMIS TGT BD FD F ACC</t>
  </si>
  <si>
    <t>L&amp;G SHORT DATED STERLING CORPORATE BOND INDEX FUND</t>
  </si>
  <si>
    <t>X TRACKERS S&amp;P 500 EQUAL WEIGHT UCITS ETF IC (GBP)</t>
  </si>
  <si>
    <t>ALLIANZ UK EQUITY INCOME FUND CLASS E SHARES INCOM</t>
  </si>
  <si>
    <t>BLACKROCK CORPORATE BOND X ACC</t>
  </si>
  <si>
    <t>GBP</t>
  </si>
  <si>
    <t>EUR</t>
  </si>
  <si>
    <t>B18B9X7</t>
  </si>
  <si>
    <t>B1S7537</t>
  </si>
  <si>
    <t>B1W0GF1</t>
  </si>
  <si>
    <t>B5B71H8</t>
  </si>
  <si>
    <t>B8GJ8S0</t>
  </si>
  <si>
    <t>B90VHJ3</t>
  </si>
  <si>
    <t>B9M1BB1</t>
  </si>
  <si>
    <t>BD8HBD3 U</t>
  </si>
  <si>
    <t>BDFK1N5_</t>
  </si>
  <si>
    <t>BF0TZL7</t>
  </si>
  <si>
    <t>BGPP8L8 $</t>
  </si>
  <si>
    <t>BJT0KV4</t>
  </si>
  <si>
    <t>BJXPPK9</t>
  </si>
  <si>
    <t>BKGR3F0</t>
  </si>
  <si>
    <t>BLNMYC9</t>
  </si>
  <si>
    <t>BMH6XK5</t>
  </si>
  <si>
    <t>BQJZV59</t>
  </si>
  <si>
    <t>GB0006011133</t>
  </si>
  <si>
    <t>GB00B18B9X76</t>
  </si>
  <si>
    <t>IE00B1S75374</t>
  </si>
  <si>
    <t>GB00B1W0GF10</t>
  </si>
  <si>
    <t>GB00B5B71H80</t>
  </si>
  <si>
    <t>GB00B8GJ8S05</t>
  </si>
  <si>
    <t>GB00B90VHJ34</t>
  </si>
  <si>
    <t>IE00B9M1BB17</t>
  </si>
  <si>
    <t>GB00BD8HBD32</t>
  </si>
  <si>
    <t>IE00BDFK1N50</t>
  </si>
  <si>
    <t>GB00BF0TZL74</t>
  </si>
  <si>
    <t>IE00BGPP8L80</t>
  </si>
  <si>
    <t>GB00BJT0KV40</t>
  </si>
  <si>
    <t>GB00BJXPPK95</t>
  </si>
  <si>
    <t>GB00BKGR3F07</t>
  </si>
  <si>
    <t>IE00BLNMYC90</t>
  </si>
  <si>
    <t>GB00BMH6XK58</t>
  </si>
  <si>
    <t>GB00BQJZV592</t>
  </si>
  <si>
    <t>PRIMA CAUTIOUS FUND</t>
  </si>
  <si>
    <t>CIS</t>
  </si>
  <si>
    <t>Bond</t>
  </si>
  <si>
    <t>Europe</t>
  </si>
  <si>
    <t>Property</t>
  </si>
  <si>
    <t>Broker</t>
  </si>
  <si>
    <t>Global</t>
  </si>
  <si>
    <t>Absolute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</si>
</sst>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253275</v>
      </c>
      <c r="G2" t="s">
        <v>5</v>
      </c>
      <c r="H2" t="s">
        <v>6</v>
      </c>
      <c r="I2" t="s">
        <v>7</v>
      </c>
    </row>
    <row r="3" spans="1:9" x14ac:dyDescent="0.35">
      <c r="A3" t="s">
        <v>8</v>
      </c>
      <c r="B3" t="s">
        <v>9</v>
      </c>
      <c r="D3" t="s">
        <v>10</v>
      </c>
      <c r="E3" s="2">
        <v>45014</v>
      </c>
      <c r="G3" t="s">
        <v>11</v>
      </c>
      <c r="H3" t="s">
        <v>12</v>
      </c>
      <c r="I3">
        <v>0</v>
      </c>
    </row>
    <row r="5" spans="1:9" x14ac:dyDescent="0.35">
      <c r="A5" t="s">
        <v>13</v>
      </c>
      <c r="B5">
        <f>PARM_Account</f>
        <v>253275</v>
      </c>
    </row>
    <row r="6" spans="1:9" x14ac:dyDescent="0.35">
      <c r="A6" t="s">
        <v>14</v>
      </c>
      <c r="B6" s="1">
        <f>PARM_Date</f>
        <v>45014</v>
      </c>
    </row>
    <row r="7" spans="1:9" x14ac:dyDescent="0.35">
      <c r="A7" t="s">
        <v>15</v>
      </c>
      <c r="B7" t="s">
        <v>16</v>
      </c>
    </row>
    <row r="9" spans="1:9" x14ac:dyDescent="0.35">
      <c r="A9" t="s">
        <v>2</v>
      </c>
      <c r="B9" t="s">
        <v>17</v>
      </c>
    </row>
    <row r="10" spans="1:9" x14ac:dyDescent="0.35">
      <c r="A10" t="s">
        <v>8</v>
      </c>
      <c r="B10" t="s">
        <v>18</v>
      </c>
    </row>
    <row r="12" spans="1:9" x14ac:dyDescent="0.35">
      <c r="A12" t="s">
        <v>13</v>
      </c>
      <c r="B12">
        <f>PARM_Account</f>
        <v>253275</v>
      </c>
    </row>
    <row r="13" spans="1:9" x14ac:dyDescent="0.35">
      <c r="A13" t="s">
        <v>19</v>
      </c>
      <c r="B13" t="s">
        <v>20</v>
      </c>
    </row>
    <row r="14" spans="1:9" x14ac:dyDescent="0.35">
      <c r="A14" t="s">
        <v>14</v>
      </c>
      <c r="B14" s="1">
        <f>PARM_Date</f>
        <v>45014</v>
      </c>
    </row>
    <row r="15" spans="1:9" x14ac:dyDescent="0.35">
      <c r="A15" t="s">
        <v>21</v>
      </c>
      <c r="B15" t="s">
        <v>22</v>
      </c>
    </row>
    <row r="16" spans="1:9" x14ac:dyDescent="0.35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5"/>
  <sheetViews>
    <sheetView showGridLines="0" tabSelected="1" zoomScaleNormal="100" workbookViewId="0">
      <selection activeCell="O33" sqref="O33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1.265625" style="2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0</v>
      </c>
      <c r="M1" s="50"/>
    </row>
    <row r="2" spans="1:22" ht="13.15" x14ac:dyDescent="0.4">
      <c r="B2" s="64" t="s">
        <v>132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29 Mar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253275</v>
      </c>
      <c r="C4" s="54"/>
      <c r="D4" s="54"/>
    </row>
    <row r="5" spans="1:22" x14ac:dyDescent="0.35">
      <c r="U5" s="5" t="s">
        <v>27</v>
      </c>
      <c r="V5" s="14" t="s">
        <v>28</v>
      </c>
    </row>
    <row r="6" spans="1:22" s="9" customFormat="1" ht="25.5" customHeight="1" x14ac:dyDescent="0.4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35">
      <c r="A7" s="5" t="s">
        <v>76</v>
      </c>
      <c r="B7" s="14">
        <v>601113</v>
      </c>
      <c r="C7" s="14" t="s">
        <v>114</v>
      </c>
      <c r="D7" s="48" t="str">
        <f t="shared" ref="D7" si="0">IF(RIGHT(LEFT(C7,11),7)=B7,"OK","CHECK")</f>
        <v>CHECK</v>
      </c>
      <c r="E7" s="5" t="s">
        <v>77</v>
      </c>
      <c r="F7" s="8">
        <v>154732.22</v>
      </c>
      <c r="G7" s="5">
        <v>8572.4220000000005</v>
      </c>
      <c r="H7" s="5" t="s">
        <v>95</v>
      </c>
      <c r="J7" s="6">
        <f>F7/F$29</f>
        <v>3.2049803814745197E-2</v>
      </c>
      <c r="K7" s="3">
        <v>0.03</v>
      </c>
      <c r="L7" s="21">
        <f>ROUND((K7-J7)*F$29,-2)</f>
        <v>-9900</v>
      </c>
      <c r="N7" s="44"/>
      <c r="O7" s="23">
        <f>IF(OR(N7="",F7=""),J7,(F7+N7)/$F$29)</f>
        <v>3.2049803814745197E-2</v>
      </c>
      <c r="P7" s="15" t="s">
        <v>70</v>
      </c>
      <c r="Q7" s="5" t="s">
        <v>133</v>
      </c>
    </row>
    <row r="8" spans="1:22" s="56" customFormat="1" x14ac:dyDescent="0.35">
      <c r="A8" s="56" t="s">
        <v>44</v>
      </c>
      <c r="B8" s="14" t="s">
        <v>97</v>
      </c>
      <c r="C8" s="14" t="s">
        <v>115</v>
      </c>
      <c r="D8" s="48" t="str">
        <f t="shared" ref="D8:D24" si="1">IF(RIGHT(LEFT(C8,11),7)=B8,"OK","CHECK")</f>
        <v>OK</v>
      </c>
      <c r="E8" s="56" t="s">
        <v>78</v>
      </c>
      <c r="F8" s="8">
        <v>281870.65000000002</v>
      </c>
      <c r="G8" s="56">
        <v>55149.805</v>
      </c>
      <c r="H8" s="56" t="s">
        <v>95</v>
      </c>
      <c r="J8" s="6">
        <f t="shared" ref="J8:J24" si="2">F8/F$29</f>
        <v>5.8384084669855493E-2</v>
      </c>
      <c r="K8" s="3">
        <v>5.5E-2</v>
      </c>
      <c r="L8" s="21">
        <f t="shared" ref="L8:L24" si="3">ROUND((K8-J8)*F$29,-2)</f>
        <v>-16300</v>
      </c>
      <c r="M8" s="7"/>
      <c r="N8" s="44"/>
      <c r="O8" s="23">
        <f t="shared" ref="O8:O24" si="4">IF(OR(N8="",F8=""),J8,(F8+N8)/$F$29)</f>
        <v>5.8384084669855493E-2</v>
      </c>
      <c r="P8" s="15" t="s">
        <v>46</v>
      </c>
      <c r="Q8" s="56" t="s">
        <v>133</v>
      </c>
    </row>
    <row r="9" spans="1:22" s="56" customFormat="1" x14ac:dyDescent="0.35">
      <c r="A9" s="56" t="s">
        <v>76</v>
      </c>
      <c r="B9" s="14" t="s">
        <v>98</v>
      </c>
      <c r="C9" s="14" t="s">
        <v>116</v>
      </c>
      <c r="D9" s="48" t="str">
        <f t="shared" si="1"/>
        <v>OK</v>
      </c>
      <c r="E9" s="56" t="s">
        <v>79</v>
      </c>
      <c r="F9" s="8">
        <v>134749.74</v>
      </c>
      <c r="G9" s="56">
        <v>991.49</v>
      </c>
      <c r="H9" s="56" t="s">
        <v>95</v>
      </c>
      <c r="J9" s="6">
        <f t="shared" si="2"/>
        <v>2.7910817353282481E-2</v>
      </c>
      <c r="K9" s="3">
        <v>0.03</v>
      </c>
      <c r="L9" s="21">
        <f t="shared" si="3"/>
        <v>10100</v>
      </c>
      <c r="M9" s="7"/>
      <c r="N9" s="44"/>
      <c r="O9" s="23">
        <f t="shared" si="4"/>
        <v>2.7910817353282481E-2</v>
      </c>
      <c r="P9" s="15" t="s">
        <v>43</v>
      </c>
      <c r="Q9" s="56" t="s">
        <v>133</v>
      </c>
    </row>
    <row r="10" spans="1:22" s="56" customFormat="1" x14ac:dyDescent="0.35">
      <c r="A10" s="56" t="s">
        <v>44</v>
      </c>
      <c r="B10" s="14" t="s">
        <v>99</v>
      </c>
      <c r="C10" s="14" t="s">
        <v>117</v>
      </c>
      <c r="D10" s="48" t="str">
        <f t="shared" si="1"/>
        <v>OK</v>
      </c>
      <c r="E10" s="56" t="s">
        <v>80</v>
      </c>
      <c r="F10" s="8">
        <v>255342.18</v>
      </c>
      <c r="G10" s="56">
        <v>108287.609</v>
      </c>
      <c r="H10" s="56" t="s">
        <v>95</v>
      </c>
      <c r="J10" s="6">
        <f t="shared" si="2"/>
        <v>5.2889222261719979E-2</v>
      </c>
      <c r="K10" s="3">
        <v>0.05</v>
      </c>
      <c r="L10" s="21">
        <f t="shared" si="3"/>
        <v>-13900</v>
      </c>
      <c r="M10" s="7"/>
      <c r="N10" s="44"/>
      <c r="O10" s="23">
        <f t="shared" si="4"/>
        <v>5.2889222261719979E-2</v>
      </c>
      <c r="P10" s="15" t="s">
        <v>43</v>
      </c>
      <c r="Q10" s="56" t="s">
        <v>133</v>
      </c>
    </row>
    <row r="11" spans="1:22" s="56" customFormat="1" x14ac:dyDescent="0.35">
      <c r="A11" s="56" t="s">
        <v>76</v>
      </c>
      <c r="B11" s="14" t="s">
        <v>100</v>
      </c>
      <c r="C11" s="14" t="s">
        <v>118</v>
      </c>
      <c r="D11" s="48" t="str">
        <f t="shared" si="1"/>
        <v>OK</v>
      </c>
      <c r="E11" s="56" t="s">
        <v>81</v>
      </c>
      <c r="F11" s="8">
        <v>151752.26999999999</v>
      </c>
      <c r="G11" s="56">
        <v>450.04480000000001</v>
      </c>
      <c r="H11" s="56" t="s">
        <v>95</v>
      </c>
      <c r="J11" s="6">
        <f t="shared" si="2"/>
        <v>3.1432564477794231E-2</v>
      </c>
      <c r="K11" s="3">
        <v>0.03</v>
      </c>
      <c r="L11" s="21">
        <f t="shared" si="3"/>
        <v>-6900</v>
      </c>
      <c r="M11" s="7"/>
      <c r="N11" s="44"/>
      <c r="O11" s="23">
        <f t="shared" si="4"/>
        <v>3.1432564477794231E-2</v>
      </c>
      <c r="P11" s="15" t="s">
        <v>45</v>
      </c>
      <c r="Q11" s="56" t="s">
        <v>133</v>
      </c>
    </row>
    <row r="12" spans="1:22" s="56" customFormat="1" x14ac:dyDescent="0.35">
      <c r="A12" s="56" t="s">
        <v>76</v>
      </c>
      <c r="B12" s="14" t="s">
        <v>101</v>
      </c>
      <c r="C12" s="14" t="s">
        <v>119</v>
      </c>
      <c r="D12" s="48" t="str">
        <f t="shared" si="1"/>
        <v>OK</v>
      </c>
      <c r="E12" s="56" t="s">
        <v>82</v>
      </c>
      <c r="F12" s="8">
        <v>299684.25</v>
      </c>
      <c r="G12" s="56">
        <v>223311.66320000001</v>
      </c>
      <c r="H12" s="56" t="s">
        <v>95</v>
      </c>
      <c r="J12" s="6">
        <f t="shared" si="2"/>
        <v>6.2073829347688882E-2</v>
      </c>
      <c r="K12" s="3">
        <v>0.06</v>
      </c>
      <c r="L12" s="21">
        <f t="shared" si="3"/>
        <v>-10000</v>
      </c>
      <c r="M12" s="7"/>
      <c r="N12" s="44"/>
      <c r="O12" s="23">
        <f t="shared" si="4"/>
        <v>6.2073829347688882E-2</v>
      </c>
      <c r="P12" s="15" t="s">
        <v>134</v>
      </c>
      <c r="Q12" s="56" t="s">
        <v>133</v>
      </c>
    </row>
    <row r="13" spans="1:22" s="56" customFormat="1" x14ac:dyDescent="0.35">
      <c r="A13" s="56" t="s">
        <v>76</v>
      </c>
      <c r="B13" s="14" t="s">
        <v>102</v>
      </c>
      <c r="C13" s="14" t="s">
        <v>120</v>
      </c>
      <c r="D13" s="48" t="str">
        <f t="shared" si="1"/>
        <v>OK</v>
      </c>
      <c r="E13" s="56" t="s">
        <v>83</v>
      </c>
      <c r="F13" s="8">
        <v>132471.87</v>
      </c>
      <c r="G13" s="56">
        <v>18567.005000000001</v>
      </c>
      <c r="H13" s="56" t="s">
        <v>95</v>
      </c>
      <c r="J13" s="6">
        <f t="shared" si="2"/>
        <v>2.7439000387071477E-2</v>
      </c>
      <c r="K13" s="3">
        <v>0.03</v>
      </c>
      <c r="L13" s="21">
        <f t="shared" si="3"/>
        <v>12400</v>
      </c>
      <c r="M13" s="7"/>
      <c r="N13" s="44"/>
      <c r="O13" s="23">
        <f t="shared" si="4"/>
        <v>2.7439000387071477E-2</v>
      </c>
      <c r="P13" s="15" t="s">
        <v>135</v>
      </c>
      <c r="Q13" s="56" t="s">
        <v>133</v>
      </c>
    </row>
    <row r="14" spans="1:22" s="56" customFormat="1" x14ac:dyDescent="0.35">
      <c r="A14" s="56" t="s">
        <v>76</v>
      </c>
      <c r="B14" s="14" t="s">
        <v>103</v>
      </c>
      <c r="C14" s="14" t="s">
        <v>121</v>
      </c>
      <c r="D14" s="48" t="str">
        <f t="shared" si="1"/>
        <v>OK</v>
      </c>
      <c r="E14" s="56" t="s">
        <v>84</v>
      </c>
      <c r="F14" s="8">
        <v>343924.69</v>
      </c>
      <c r="G14" s="56">
        <v>3135.51</v>
      </c>
      <c r="H14" s="56" t="s">
        <v>95</v>
      </c>
      <c r="J14" s="6">
        <f t="shared" si="2"/>
        <v>7.1237385733540548E-2</v>
      </c>
      <c r="K14" s="3">
        <v>7.0000000000000007E-2</v>
      </c>
      <c r="L14" s="21">
        <f t="shared" si="3"/>
        <v>-6000</v>
      </c>
      <c r="M14" s="7"/>
      <c r="N14" s="44"/>
      <c r="O14" s="23">
        <f t="shared" si="4"/>
        <v>7.1237385733540548E-2</v>
      </c>
      <c r="P14" s="15" t="s">
        <v>134</v>
      </c>
      <c r="Q14" s="56" t="s">
        <v>133</v>
      </c>
    </row>
    <row r="15" spans="1:22" s="56" customFormat="1" x14ac:dyDescent="0.35">
      <c r="A15" s="56" t="s">
        <v>44</v>
      </c>
      <c r="B15" s="14" t="s">
        <v>104</v>
      </c>
      <c r="C15" s="14" t="s">
        <v>122</v>
      </c>
      <c r="D15" s="48" t="str">
        <f t="shared" si="1"/>
        <v>CHECK</v>
      </c>
      <c r="E15" s="56" t="s">
        <v>85</v>
      </c>
      <c r="F15" s="8">
        <v>83120</v>
      </c>
      <c r="G15" s="56">
        <v>160000</v>
      </c>
      <c r="H15" s="56" t="s">
        <v>95</v>
      </c>
      <c r="J15" s="6">
        <f t="shared" si="2"/>
        <v>1.7216709571423589E-2</v>
      </c>
      <c r="K15" s="3">
        <v>0.02</v>
      </c>
      <c r="L15" s="21">
        <f t="shared" si="3"/>
        <v>13400</v>
      </c>
      <c r="M15" s="7"/>
      <c r="N15" s="44"/>
      <c r="O15" s="23">
        <f t="shared" si="4"/>
        <v>1.7216709571423589E-2</v>
      </c>
      <c r="P15" s="15" t="s">
        <v>136</v>
      </c>
      <c r="Q15" s="56" t="s">
        <v>137</v>
      </c>
    </row>
    <row r="16" spans="1:22" s="56" customFormat="1" x14ac:dyDescent="0.35">
      <c r="A16" s="56" t="s">
        <v>44</v>
      </c>
      <c r="B16" s="14" t="s">
        <v>105</v>
      </c>
      <c r="C16" s="14" t="s">
        <v>123</v>
      </c>
      <c r="D16" s="48" t="str">
        <f t="shared" si="1"/>
        <v>CHECK</v>
      </c>
      <c r="E16" s="56" t="s">
        <v>86</v>
      </c>
      <c r="F16" s="8">
        <v>422342.6</v>
      </c>
      <c r="G16" s="56">
        <v>90389</v>
      </c>
      <c r="H16" s="56" t="s">
        <v>95</v>
      </c>
      <c r="J16" s="6">
        <f t="shared" si="2"/>
        <v>8.7480147784407172E-2</v>
      </c>
      <c r="K16" s="3">
        <v>0.09</v>
      </c>
      <c r="L16" s="21">
        <f t="shared" si="3"/>
        <v>12200</v>
      </c>
      <c r="M16" s="7"/>
      <c r="N16" s="44"/>
      <c r="O16" s="23">
        <f t="shared" si="4"/>
        <v>8.7480147784407172E-2</v>
      </c>
      <c r="P16" s="15" t="s">
        <v>134</v>
      </c>
      <c r="Q16" s="56" t="s">
        <v>137</v>
      </c>
    </row>
    <row r="17" spans="1:17" s="56" customFormat="1" x14ac:dyDescent="0.35">
      <c r="A17" s="56" t="s">
        <v>44</v>
      </c>
      <c r="B17" s="14" t="s">
        <v>106</v>
      </c>
      <c r="C17" s="14" t="s">
        <v>124</v>
      </c>
      <c r="D17" s="48" t="str">
        <f t="shared" si="1"/>
        <v>OK</v>
      </c>
      <c r="E17" s="56" t="s">
        <v>87</v>
      </c>
      <c r="F17" s="8">
        <v>199624.91</v>
      </c>
      <c r="G17" s="56">
        <v>259894.432</v>
      </c>
      <c r="H17" s="56" t="s">
        <v>95</v>
      </c>
      <c r="J17" s="6">
        <f t="shared" si="2"/>
        <v>4.1348461245086295E-2</v>
      </c>
      <c r="K17" s="3">
        <v>0.04</v>
      </c>
      <c r="L17" s="21">
        <f t="shared" si="3"/>
        <v>-6500</v>
      </c>
      <c r="M17" s="7"/>
      <c r="N17" s="44"/>
      <c r="O17" s="23">
        <f t="shared" si="4"/>
        <v>4.1348461245086295E-2</v>
      </c>
      <c r="P17" s="15" t="s">
        <v>138</v>
      </c>
      <c r="Q17" s="56" t="s">
        <v>133</v>
      </c>
    </row>
    <row r="18" spans="1:17" s="56" customFormat="1" x14ac:dyDescent="0.35">
      <c r="A18" s="56" t="s">
        <v>44</v>
      </c>
      <c r="B18" s="14" t="s">
        <v>107</v>
      </c>
      <c r="C18" s="14" t="s">
        <v>125</v>
      </c>
      <c r="D18" s="48" t="str">
        <f t="shared" si="1"/>
        <v>CHECK</v>
      </c>
      <c r="E18" s="56" t="s">
        <v>88</v>
      </c>
      <c r="F18" s="8">
        <v>173334.53</v>
      </c>
      <c r="G18" s="56">
        <v>29149</v>
      </c>
      <c r="H18" s="56" t="s">
        <v>95</v>
      </c>
      <c r="J18" s="6">
        <f t="shared" si="2"/>
        <v>3.590291460189135E-2</v>
      </c>
      <c r="K18" s="3">
        <v>3.5000000000000003E-2</v>
      </c>
      <c r="L18" s="21">
        <f t="shared" si="3"/>
        <v>-4400</v>
      </c>
      <c r="M18" s="7"/>
      <c r="N18" s="44"/>
      <c r="O18" s="23">
        <f t="shared" si="4"/>
        <v>3.590291460189135E-2</v>
      </c>
      <c r="P18" s="15" t="s">
        <v>138</v>
      </c>
      <c r="Q18" s="56" t="s">
        <v>137</v>
      </c>
    </row>
    <row r="19" spans="1:17" s="56" customFormat="1" x14ac:dyDescent="0.35">
      <c r="A19" s="56" t="s">
        <v>44</v>
      </c>
      <c r="B19" s="14" t="s">
        <v>108</v>
      </c>
      <c r="C19" s="14" t="s">
        <v>126</v>
      </c>
      <c r="D19" s="48" t="str">
        <f t="shared" si="1"/>
        <v>OK</v>
      </c>
      <c r="E19" s="56" t="s">
        <v>89</v>
      </c>
      <c r="F19" s="8">
        <v>417386.06</v>
      </c>
      <c r="G19" s="56">
        <v>618716.36800000002</v>
      </c>
      <c r="H19" s="56" t="s">
        <v>95</v>
      </c>
      <c r="J19" s="6">
        <f t="shared" si="2"/>
        <v>8.6453495839518529E-2</v>
      </c>
      <c r="K19" s="3">
        <v>0.09</v>
      </c>
      <c r="L19" s="21">
        <f t="shared" si="3"/>
        <v>17100</v>
      </c>
      <c r="M19" s="7"/>
      <c r="N19" s="44"/>
      <c r="O19" s="23">
        <f t="shared" si="4"/>
        <v>8.6453495839518529E-2</v>
      </c>
      <c r="P19" s="15" t="s">
        <v>134</v>
      </c>
      <c r="Q19" s="56" t="s">
        <v>133</v>
      </c>
    </row>
    <row r="20" spans="1:17" s="56" customFormat="1" x14ac:dyDescent="0.35">
      <c r="A20" s="56" t="s">
        <v>76</v>
      </c>
      <c r="B20" s="14" t="s">
        <v>109</v>
      </c>
      <c r="C20" s="14" t="s">
        <v>127</v>
      </c>
      <c r="D20" s="48" t="str">
        <f t="shared" si="1"/>
        <v>OK</v>
      </c>
      <c r="E20" s="56" t="s">
        <v>90</v>
      </c>
      <c r="F20" s="8">
        <v>302078.13</v>
      </c>
      <c r="G20" s="56">
        <v>284764.45500000002</v>
      </c>
      <c r="H20" s="56" t="s">
        <v>95</v>
      </c>
      <c r="J20" s="6">
        <f t="shared" si="2"/>
        <v>6.2569675554484352E-2</v>
      </c>
      <c r="K20" s="3">
        <v>0.06</v>
      </c>
      <c r="L20" s="21">
        <f t="shared" si="3"/>
        <v>-12400</v>
      </c>
      <c r="M20" s="7"/>
      <c r="N20" s="44"/>
      <c r="O20" s="23">
        <f t="shared" si="4"/>
        <v>6.2569675554484352E-2</v>
      </c>
      <c r="P20" s="15" t="s">
        <v>139</v>
      </c>
      <c r="Q20" s="56" t="s">
        <v>133</v>
      </c>
    </row>
    <row r="21" spans="1:17" s="56" customFormat="1" x14ac:dyDescent="0.35">
      <c r="A21" s="56" t="s">
        <v>76</v>
      </c>
      <c r="B21" s="14" t="s">
        <v>110</v>
      </c>
      <c r="C21" s="14" t="s">
        <v>128</v>
      </c>
      <c r="D21" s="48" t="str">
        <f t="shared" si="1"/>
        <v>OK</v>
      </c>
      <c r="E21" s="56" t="s">
        <v>91</v>
      </c>
      <c r="F21" s="8">
        <v>400538.29</v>
      </c>
      <c r="G21" s="56">
        <v>713844.74899999995</v>
      </c>
      <c r="H21" s="56" t="s">
        <v>95</v>
      </c>
      <c r="J21" s="6">
        <f t="shared" si="2"/>
        <v>8.2963804272914304E-2</v>
      </c>
      <c r="K21" s="3">
        <v>0.08</v>
      </c>
      <c r="L21" s="21">
        <f t="shared" si="3"/>
        <v>-14300</v>
      </c>
      <c r="M21" s="7"/>
      <c r="N21" s="44"/>
      <c r="O21" s="23">
        <f t="shared" si="4"/>
        <v>8.2963804272914304E-2</v>
      </c>
      <c r="P21" s="15" t="s">
        <v>134</v>
      </c>
      <c r="Q21" s="56" t="s">
        <v>133</v>
      </c>
    </row>
    <row r="22" spans="1:17" s="56" customFormat="1" x14ac:dyDescent="0.35">
      <c r="A22" s="56" t="s">
        <v>44</v>
      </c>
      <c r="B22" s="14" t="s">
        <v>111</v>
      </c>
      <c r="C22" s="14" t="s">
        <v>129</v>
      </c>
      <c r="D22" s="48" t="str">
        <f t="shared" si="1"/>
        <v>OK</v>
      </c>
      <c r="E22" s="56" t="s">
        <v>92</v>
      </c>
      <c r="F22" s="8">
        <v>274725.90999999997</v>
      </c>
      <c r="G22" s="56">
        <v>4513</v>
      </c>
      <c r="H22" s="56" t="s">
        <v>96</v>
      </c>
      <c r="J22" s="6">
        <f t="shared" si="2"/>
        <v>5.6904189174868322E-2</v>
      </c>
      <c r="K22" s="3">
        <v>0.06</v>
      </c>
      <c r="L22" s="21">
        <f t="shared" si="3"/>
        <v>14900</v>
      </c>
      <c r="M22" s="7"/>
      <c r="N22" s="44"/>
      <c r="O22" s="23">
        <f t="shared" si="4"/>
        <v>5.6904189174868322E-2</v>
      </c>
      <c r="P22" s="15" t="s">
        <v>49</v>
      </c>
      <c r="Q22" s="56" t="s">
        <v>137</v>
      </c>
    </row>
    <row r="23" spans="1:17" s="56" customFormat="1" x14ac:dyDescent="0.35">
      <c r="A23" s="56" t="s">
        <v>76</v>
      </c>
      <c r="B23" s="14" t="s">
        <v>112</v>
      </c>
      <c r="C23" s="14" t="s">
        <v>130</v>
      </c>
      <c r="D23" s="48" t="str">
        <f t="shared" si="1"/>
        <v>OK</v>
      </c>
      <c r="E23" s="56" t="s">
        <v>93</v>
      </c>
      <c r="F23" s="8">
        <v>272443.02</v>
      </c>
      <c r="G23" s="56">
        <v>244540.9</v>
      </c>
      <c r="H23" s="56" t="s">
        <v>95</v>
      </c>
      <c r="J23" s="6">
        <f t="shared" si="2"/>
        <v>5.6431332412193801E-2</v>
      </c>
      <c r="K23" s="3">
        <v>0.06</v>
      </c>
      <c r="L23" s="21">
        <f t="shared" si="3"/>
        <v>17200</v>
      </c>
      <c r="M23" s="7"/>
      <c r="N23" s="44"/>
      <c r="O23" s="23">
        <f t="shared" si="4"/>
        <v>5.6431332412193801E-2</v>
      </c>
      <c r="P23" s="15" t="s">
        <v>46</v>
      </c>
      <c r="Q23" s="56" t="s">
        <v>133</v>
      </c>
    </row>
    <row r="24" spans="1:17" s="56" customFormat="1" x14ac:dyDescent="0.35">
      <c r="A24" s="56" t="s">
        <v>44</v>
      </c>
      <c r="B24" s="14" t="s">
        <v>113</v>
      </c>
      <c r="C24" s="14" t="s">
        <v>131</v>
      </c>
      <c r="D24" s="48" t="str">
        <f t="shared" si="1"/>
        <v>OK</v>
      </c>
      <c r="E24" s="56" t="s">
        <v>94</v>
      </c>
      <c r="F24" s="8">
        <v>330163.83</v>
      </c>
      <c r="G24" s="56">
        <v>262201.26500000001</v>
      </c>
      <c r="H24" s="56" t="s">
        <v>95</v>
      </c>
      <c r="J24" s="6">
        <f t="shared" si="2"/>
        <v>6.8387088211006627E-2</v>
      </c>
      <c r="K24" s="3">
        <v>7.0000000000000007E-2</v>
      </c>
      <c r="L24" s="21">
        <f t="shared" si="3"/>
        <v>7800</v>
      </c>
      <c r="M24" s="7"/>
      <c r="N24" s="44"/>
      <c r="O24" s="23">
        <f t="shared" si="4"/>
        <v>6.8387088211006627E-2</v>
      </c>
      <c r="P24" s="15" t="s">
        <v>134</v>
      </c>
      <c r="Q24" s="56" t="s">
        <v>133</v>
      </c>
    </row>
    <row r="25" spans="1:17" ht="13.5" customHeight="1" thickBot="1" x14ac:dyDescent="0.4">
      <c r="E25" s="16"/>
      <c r="K25" s="4"/>
      <c r="L25" s="24"/>
      <c r="M25" s="17"/>
      <c r="N25" s="24"/>
      <c r="O25" s="15"/>
    </row>
    <row r="26" spans="1:17" ht="13.5" customHeight="1" thickBot="1" x14ac:dyDescent="0.45">
      <c r="B26" s="36" t="s">
        <v>52</v>
      </c>
      <c r="C26" s="47"/>
      <c r="D26" s="47"/>
      <c r="E26" s="37"/>
      <c r="F26" s="18">
        <v>-113.8</v>
      </c>
      <c r="J26" s="38" t="s">
        <v>53</v>
      </c>
      <c r="K26" s="57" t="s">
        <v>35</v>
      </c>
      <c r="L26" s="58"/>
      <c r="M26" s="39" t="s">
        <v>54</v>
      </c>
    </row>
    <row r="27" spans="1:17" x14ac:dyDescent="0.35">
      <c r="A27" s="5" t="s">
        <v>44</v>
      </c>
      <c r="B27" s="61" t="s">
        <v>55</v>
      </c>
      <c r="C27" s="62"/>
      <c r="D27" s="62"/>
      <c r="E27" s="62"/>
      <c r="F27" s="35">
        <f>VALU_JC+VALU_XA-VALU_BV+$F$26</f>
        <v>197582.78000000009</v>
      </c>
      <c r="G27" s="33">
        <v>135383.17000000001</v>
      </c>
      <c r="H27" s="34">
        <v>4827981.7300000004</v>
      </c>
      <c r="I27" s="34">
        <v>4765668.32</v>
      </c>
      <c r="J27" s="40">
        <f>F27/F29</f>
        <v>4.0925473286507252E-2</v>
      </c>
      <c r="K27" s="41">
        <v>0.04</v>
      </c>
      <c r="L27" s="42">
        <f>F27-SUM(L7:L25)</f>
        <v>193082.78000000009</v>
      </c>
      <c r="M27" s="43">
        <f>F27-SUM(N7:N26)</f>
        <v>197582.78000000009</v>
      </c>
      <c r="O27" s="23">
        <f>$M$27/$F$29</f>
        <v>4.0925473286507252E-2</v>
      </c>
      <c r="P27" s="5" t="s">
        <v>56</v>
      </c>
    </row>
    <row r="28" spans="1:17" x14ac:dyDescent="0.35">
      <c r="F28" s="27"/>
      <c r="G28" s="27"/>
      <c r="J28" s="23"/>
    </row>
    <row r="29" spans="1:17" ht="13.15" x14ac:dyDescent="0.4">
      <c r="B29" s="63" t="s">
        <v>57</v>
      </c>
      <c r="C29" s="60"/>
      <c r="D29" s="60"/>
      <c r="E29" s="60"/>
      <c r="F29" s="28" cm="1">
        <f t="array" ref="F29">SUM(SUMIF(A:A,{"S","MF","G"},F:F))</f>
        <v>4827867.9300000006</v>
      </c>
      <c r="I29" s="29">
        <f>MAX(J7:J27)</f>
        <v>8.7480147784407172E-2</v>
      </c>
      <c r="J29" s="23"/>
      <c r="K29" s="6">
        <f>SUM(K7:K28)</f>
        <v>1.0000000000000002</v>
      </c>
    </row>
    <row r="31" spans="1:17" ht="13.15" x14ac:dyDescent="0.4">
      <c r="B31" s="59" t="str">
        <f>IF(I29&gt;0.2,"One or more of the holdings is currently over 20% of the portfolio value, please record the breach and report it to a fund manager",IF(I29&gt;0.15,"One or more of the holdings is over 15% of the portfolio value, please inform a fund manager",""))</f>
        <v/>
      </c>
      <c r="C31" s="60"/>
      <c r="D31" s="60"/>
      <c r="E31" s="60"/>
      <c r="F31" s="60"/>
      <c r="G31" s="60"/>
      <c r="H31" s="60"/>
      <c r="I31" s="60"/>
      <c r="J31" s="60"/>
      <c r="K31" s="11" t="s">
        <v>58</v>
      </c>
      <c r="L31" s="25">
        <f>SUM(L7:L25)</f>
        <v>4500</v>
      </c>
      <c r="M31" s="25">
        <f>SUM(N7:N25)</f>
        <v>0</v>
      </c>
      <c r="N31" s="25"/>
    </row>
    <row r="32" spans="1:17" x14ac:dyDescent="0.35">
      <c r="B32" s="60"/>
      <c r="C32" s="60"/>
      <c r="D32" s="60"/>
      <c r="E32" s="60"/>
      <c r="F32" s="60"/>
      <c r="G32" s="60"/>
      <c r="H32" s="60"/>
      <c r="I32" s="60"/>
      <c r="J32" s="60"/>
      <c r="K32" s="6" t="s">
        <v>59</v>
      </c>
      <c r="L32" s="23">
        <f>($F$27-L31)/$F$29</f>
        <v>3.9993384823184271E-2</v>
      </c>
      <c r="M32" s="6">
        <f>($F$27-M31)/$F$29</f>
        <v>4.0925473286507252E-2</v>
      </c>
      <c r="N32" s="23"/>
    </row>
    <row r="33" spans="2:14" x14ac:dyDescent="0.35">
      <c r="B33" s="60"/>
      <c r="C33" s="60"/>
      <c r="D33" s="60"/>
      <c r="E33" s="60"/>
      <c r="F33" s="60"/>
      <c r="G33" s="60"/>
      <c r="H33" s="60"/>
      <c r="I33" s="60"/>
      <c r="J33" s="60"/>
    </row>
    <row r="34" spans="2:14" ht="32.25" customHeight="1" x14ac:dyDescent="0.4">
      <c r="E34" s="19" t="s">
        <v>60</v>
      </c>
      <c r="F34" s="12" t="s">
        <v>61</v>
      </c>
      <c r="G34" s="19"/>
      <c r="H34" s="19"/>
      <c r="I34" s="19"/>
      <c r="J34" s="20" t="s">
        <v>62</v>
      </c>
      <c r="K34" s="20" t="s">
        <v>63</v>
      </c>
      <c r="L34" s="22" t="s">
        <v>64</v>
      </c>
      <c r="M34" s="13"/>
      <c r="N34" s="22"/>
    </row>
    <row r="35" spans="2:14" x14ac:dyDescent="0.35">
      <c r="E35" s="32" t="s">
        <v>43</v>
      </c>
      <c r="F35" s="27">
        <f>SUMIF(P:P,E35,L:L)</f>
        <v>3000</v>
      </c>
      <c r="G35" s="27">
        <f>SUMIF(P:P,F35,G:G)+SUMIF(P:P,F35,O:O)</f>
        <v>0</v>
      </c>
      <c r="H35" s="27">
        <f>SUMIF(Q:Q,G35,H:H)+SUMIF(Q:Q,G35,P:P)</f>
        <v>0</v>
      </c>
      <c r="I35" s="27">
        <f>SUMIF(R:R,H35,I:I)+SUMIF(R:R,H35,Q:Q)</f>
        <v>0</v>
      </c>
      <c r="J35" s="29">
        <f>SUMIF(P:P,E35,K:K)</f>
        <v>0.54</v>
      </c>
      <c r="K35" s="29">
        <f>SUMIF(P:P,E35,$J:$J)</f>
        <v>0.5393957908040784</v>
      </c>
      <c r="L35" s="23">
        <f>SUMIF(P:P,E35,O:O)</f>
        <v>0.5393957908040784</v>
      </c>
    </row>
    <row r="36" spans="2:14" x14ac:dyDescent="0.35">
      <c r="E36" s="32" t="s">
        <v>48</v>
      </c>
      <c r="F36" s="27">
        <f>SUMIF(P:P,E36,L:L)</f>
        <v>13400</v>
      </c>
      <c r="J36" s="29">
        <f>SUMIF(P:P,E36,K:K)</f>
        <v>0.02</v>
      </c>
      <c r="K36" s="29">
        <f>SUMIF(P:P,E36,$J:$J)</f>
        <v>1.7216709571423589E-2</v>
      </c>
      <c r="L36" s="23">
        <f>SUMIF(P:P,E36,O:O)</f>
        <v>1.7216709571423589E-2</v>
      </c>
    </row>
    <row r="37" spans="2:14" x14ac:dyDescent="0.35">
      <c r="E37" s="46" t="s">
        <v>51</v>
      </c>
      <c r="F37" s="27">
        <f>SUMIF(P:P,E37,L:L)</f>
        <v>0</v>
      </c>
      <c r="J37" s="29">
        <f>SUMIF(P:P,E37,K:K)</f>
        <v>0</v>
      </c>
      <c r="K37" s="29">
        <f>SUMIF(P:P,E37,$J:$J)</f>
        <v>0</v>
      </c>
      <c r="L37" s="23">
        <f>SUMIF(P:P,E37,O:O)</f>
        <v>0</v>
      </c>
    </row>
    <row r="38" spans="2:14" x14ac:dyDescent="0.35">
      <c r="E38" s="15" t="s">
        <v>47</v>
      </c>
      <c r="F38" s="27">
        <f>SUMIF(P:P,E38,L:L)</f>
        <v>-12400</v>
      </c>
      <c r="J38" s="29">
        <f>SUMIF(P:P,E38,K:K)</f>
        <v>0.06</v>
      </c>
      <c r="K38" s="29">
        <f>SUMIF(P:P,E38,$J:$J)</f>
        <v>6.2569675554484352E-2</v>
      </c>
      <c r="L38" s="23">
        <f>SUMIF(P:P,E38,O:O)</f>
        <v>6.2569675554484352E-2</v>
      </c>
    </row>
    <row r="39" spans="2:14" ht="13.15" x14ac:dyDescent="0.4">
      <c r="E39" s="9" t="s">
        <v>65</v>
      </c>
      <c r="F39" s="28">
        <f>SUM(F35:F37)</f>
        <v>16400</v>
      </c>
      <c r="G39" s="30"/>
      <c r="H39" s="30"/>
      <c r="I39" s="30"/>
      <c r="J39" s="26">
        <f>SUM(J35:J38)</f>
        <v>0.62000000000000011</v>
      </c>
      <c r="K39" s="26">
        <f>SUM(K35:K38)</f>
        <v>0.61918217592998637</v>
      </c>
      <c r="L39" s="26">
        <f>SUM(L35:L38)</f>
        <v>0.61918217592998637</v>
      </c>
    </row>
    <row r="40" spans="2:14" x14ac:dyDescent="0.35">
      <c r="F40" s="27"/>
      <c r="J40" s="23"/>
      <c r="K40" s="23"/>
    </row>
    <row r="41" spans="2:14" ht="13.15" x14ac:dyDescent="0.4">
      <c r="E41" s="9" t="s">
        <v>66</v>
      </c>
      <c r="F41" s="27"/>
      <c r="J41" s="23"/>
      <c r="K41" s="23"/>
    </row>
    <row r="42" spans="2:14" x14ac:dyDescent="0.35">
      <c r="E42" s="32" t="s">
        <v>46</v>
      </c>
      <c r="F42" s="27">
        <f t="shared" ref="F42:F51" si="5">SUMIF(P:P,E42,L:L)</f>
        <v>900</v>
      </c>
      <c r="J42" s="29">
        <f t="shared" ref="J42:J51" si="6">SUMIF(P:P,E42,K:K)</f>
        <v>0.11499999999999999</v>
      </c>
      <c r="K42" s="29">
        <f t="shared" ref="K42:K51" si="7">SUMIF(P:P,E42,$J:$J)</f>
        <v>0.11481541708204929</v>
      </c>
      <c r="L42" s="23">
        <f t="shared" ref="L42:L51" si="8">SUMIF(P:P,E42,O:O)</f>
        <v>0.11481541708204929</v>
      </c>
    </row>
    <row r="43" spans="2:14" x14ac:dyDescent="0.35">
      <c r="E43" s="32" t="s">
        <v>67</v>
      </c>
      <c r="F43" s="27">
        <f t="shared" si="5"/>
        <v>0</v>
      </c>
      <c r="J43" s="29">
        <f t="shared" si="6"/>
        <v>0</v>
      </c>
      <c r="K43" s="29">
        <f t="shared" si="7"/>
        <v>0</v>
      </c>
      <c r="L43" s="23">
        <f t="shared" si="8"/>
        <v>0</v>
      </c>
    </row>
    <row r="44" spans="2:14" x14ac:dyDescent="0.35">
      <c r="E44" s="32" t="s">
        <v>50</v>
      </c>
      <c r="F44" s="27">
        <f t="shared" si="5"/>
        <v>0</v>
      </c>
      <c r="J44" s="29">
        <f t="shared" si="6"/>
        <v>0</v>
      </c>
      <c r="K44" s="29">
        <f t="shared" si="7"/>
        <v>0</v>
      </c>
      <c r="L44" s="23">
        <f t="shared" si="8"/>
        <v>0</v>
      </c>
    </row>
    <row r="45" spans="2:14" x14ac:dyDescent="0.35">
      <c r="E45" s="32" t="s">
        <v>45</v>
      </c>
      <c r="F45" s="27">
        <f t="shared" si="5"/>
        <v>5500</v>
      </c>
      <c r="J45" s="29">
        <f t="shared" si="6"/>
        <v>0.06</v>
      </c>
      <c r="K45" s="29">
        <f t="shared" si="7"/>
        <v>5.8871564864865708E-2</v>
      </c>
      <c r="L45" s="23">
        <f t="shared" si="8"/>
        <v>5.8871564864865708E-2</v>
      </c>
    </row>
    <row r="46" spans="2:14" x14ac:dyDescent="0.35">
      <c r="E46" s="32" t="s">
        <v>49</v>
      </c>
      <c r="F46" s="27">
        <f t="shared" si="5"/>
        <v>14900</v>
      </c>
      <c r="J46" s="29">
        <f t="shared" si="6"/>
        <v>0.06</v>
      </c>
      <c r="K46" s="29">
        <f t="shared" si="7"/>
        <v>5.6904189174868322E-2</v>
      </c>
      <c r="L46" s="23">
        <f t="shared" si="8"/>
        <v>5.6904189174868322E-2</v>
      </c>
    </row>
    <row r="47" spans="2:14" x14ac:dyDescent="0.35">
      <c r="E47" s="32" t="s">
        <v>42</v>
      </c>
      <c r="F47" s="27">
        <f t="shared" si="5"/>
        <v>-10900</v>
      </c>
      <c r="J47" s="29">
        <f t="shared" si="6"/>
        <v>7.5000000000000011E-2</v>
      </c>
      <c r="K47" s="29">
        <f t="shared" si="7"/>
        <v>7.7251375846977638E-2</v>
      </c>
      <c r="L47" s="23">
        <f t="shared" si="8"/>
        <v>7.7251375846977638E-2</v>
      </c>
    </row>
    <row r="48" spans="2:14" x14ac:dyDescent="0.35">
      <c r="E48" s="32" t="s">
        <v>41</v>
      </c>
      <c r="F48" s="27">
        <f t="shared" si="5"/>
        <v>0</v>
      </c>
      <c r="J48" s="29">
        <f t="shared" si="6"/>
        <v>0</v>
      </c>
      <c r="K48" s="29">
        <f t="shared" si="7"/>
        <v>0</v>
      </c>
      <c r="L48" s="23">
        <f t="shared" si="8"/>
        <v>0</v>
      </c>
    </row>
    <row r="49" spans="5:12" x14ac:dyDescent="0.35">
      <c r="E49" s="46" t="s">
        <v>68</v>
      </c>
      <c r="F49" s="27">
        <f t="shared" si="5"/>
        <v>0</v>
      </c>
      <c r="J49" s="29">
        <f t="shared" si="6"/>
        <v>0</v>
      </c>
      <c r="K49" s="29">
        <f t="shared" si="7"/>
        <v>0</v>
      </c>
      <c r="L49" s="23">
        <f t="shared" si="8"/>
        <v>0</v>
      </c>
    </row>
    <row r="50" spans="5:12" x14ac:dyDescent="0.35">
      <c r="E50" s="46" t="s">
        <v>69</v>
      </c>
      <c r="F50" s="27">
        <f t="shared" si="5"/>
        <v>0</v>
      </c>
      <c r="J50" s="29">
        <f t="shared" si="6"/>
        <v>0</v>
      </c>
      <c r="K50" s="29">
        <f t="shared" si="7"/>
        <v>0</v>
      </c>
      <c r="L50" s="23">
        <f t="shared" si="8"/>
        <v>0</v>
      </c>
    </row>
    <row r="51" spans="5:12" x14ac:dyDescent="0.35">
      <c r="E51" s="32" t="s">
        <v>70</v>
      </c>
      <c r="F51" s="27">
        <f t="shared" si="5"/>
        <v>-9900</v>
      </c>
      <c r="J51" s="29">
        <f t="shared" si="6"/>
        <v>0.03</v>
      </c>
      <c r="K51" s="29">
        <f t="shared" si="7"/>
        <v>3.2049803814745197E-2</v>
      </c>
      <c r="L51" s="23">
        <f t="shared" si="8"/>
        <v>3.2049803814745197E-2</v>
      </c>
    </row>
    <row r="52" spans="5:12" ht="13.15" x14ac:dyDescent="0.4">
      <c r="E52" s="9" t="s">
        <v>71</v>
      </c>
      <c r="F52" s="28">
        <f>SUM(F42:F51)</f>
        <v>500</v>
      </c>
      <c r="G52" s="30"/>
      <c r="H52" s="30"/>
      <c r="I52" s="30"/>
      <c r="J52" s="31">
        <f>SUM(J42:J51)</f>
        <v>0.33999999999999997</v>
      </c>
      <c r="K52" s="26">
        <f>SUM(K42:K51)</f>
        <v>0.33989235078350621</v>
      </c>
      <c r="L52" s="26">
        <f>SUM(L42:L51)</f>
        <v>0.33989235078350621</v>
      </c>
    </row>
    <row r="53" spans="5:12" x14ac:dyDescent="0.35">
      <c r="F53" s="27"/>
      <c r="J53" s="23"/>
      <c r="K53" s="23"/>
    </row>
    <row r="54" spans="5:12" x14ac:dyDescent="0.35">
      <c r="E54" s="5" t="s">
        <v>56</v>
      </c>
      <c r="F54" s="27">
        <f>SUMIF(O:O,E54,F:F)+SUMIF(O:O,E54,L:L)</f>
        <v>0</v>
      </c>
      <c r="J54" s="29">
        <f>SUMIF(P:P,E54,K:K)</f>
        <v>0.04</v>
      </c>
      <c r="K54" s="29">
        <f>SUMIF(P:P,E54,J:J)</f>
        <v>4.0925473286507252E-2</v>
      </c>
      <c r="L54" s="23">
        <f>SUMIF(P:P,E54,O:O)</f>
        <v>4.0925473286507252E-2</v>
      </c>
    </row>
    <row r="55" spans="5:12" x14ac:dyDescent="0.35">
      <c r="F55" s="23">
        <f>SUM(F39+F52+F54)</f>
        <v>16900</v>
      </c>
      <c r="J55" s="23">
        <f>SUM(J39+J52+J54)</f>
        <v>1</v>
      </c>
      <c r="K55" s="23">
        <f>SUM(K39+K52+K54)</f>
        <v>0.99999999999999978</v>
      </c>
      <c r="L55" s="23">
        <f>SUM(L39+L52+L54)</f>
        <v>0.99999999999999978</v>
      </c>
    </row>
  </sheetData>
  <autoFilter ref="A6:V6" xr:uid="{00000000-0001-0000-0200-000000000000}">
    <sortState xmlns:xlrd2="http://schemas.microsoft.com/office/spreadsheetml/2017/richdata2" ref="A7:V25">
      <sortCondition ref="P6"/>
    </sortState>
  </autoFilter>
  <mergeCells count="7">
    <mergeCell ref="K26:L26"/>
    <mergeCell ref="B31:J33"/>
    <mergeCell ref="B27:E27"/>
    <mergeCell ref="B29:E29"/>
    <mergeCell ref="B1:J1"/>
    <mergeCell ref="B2:J2"/>
    <mergeCell ref="B3:J3"/>
  </mergeCells>
  <conditionalFormatting sqref="B31:J33">
    <cfRule type="expression" dxfId="18" priority="185" stopIfTrue="1">
      <formula>$I29&gt;0.2</formula>
    </cfRule>
  </conditionalFormatting>
  <conditionalFormatting sqref="K25:K26">
    <cfRule type="expression" dxfId="17" priority="110" stopIfTrue="1">
      <formula>OR(J25-K25&gt;=0.005,J25-K25&lt;=-0.005)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51 L35:L38">
    <cfRule type="expression" dxfId="14" priority="81" stopIfTrue="1">
      <formula>OR($L35-$J35&gt;=0.005,$L35-$J35&lt;=-0.005)</formula>
    </cfRule>
  </conditionalFormatting>
  <conditionalFormatting sqref="E35:E36">
    <cfRule type="expression" dxfId="13" priority="79" stopIfTrue="1">
      <formula>OR($L35-$J35&gt;=0.005,$L35-$J35&lt;=-0.005)</formula>
    </cfRule>
  </conditionalFormatting>
  <conditionalFormatting sqref="E42:E48">
    <cfRule type="expression" dxfId="12" priority="77" stopIfTrue="1">
      <formula>OR($L42-$J42&gt;=0.005,$L42-$J42&lt;=-0.005)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25:D25">
    <cfRule type="expression" dxfId="10" priority="66" stopIfTrue="1">
      <formula>AND(OR($B25=$V$5,$B25=$V$6),$M25&lt;&gt;"")</formula>
    </cfRule>
  </conditionalFormatting>
  <conditionalFormatting sqref="F25">
    <cfRule type="expression" dxfId="9" priority="64" stopIfTrue="1">
      <formula>AND(OR($B25=$V$5,$B25=$V$6),$M25&lt;&gt;"")</formula>
    </cfRule>
  </conditionalFormatting>
  <conditionalFormatting sqref="E39:E179 N7 E7 E25:E37 N25:N179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42:L51">
    <cfRule type="expression" dxfId="5" priority="51" stopIfTrue="1">
      <formula>OR($L42-$J42&gt;=0.005,$L42-$J42&lt;=-0.005)</formula>
    </cfRule>
  </conditionalFormatting>
  <conditionalFormatting sqref="K8:K24">
    <cfRule type="expression" dxfId="4" priority="2" stopIfTrue="1">
      <formula>OR(J8-K8&gt;=0.005,J8-K8&lt;=-0.005)</formula>
    </cfRule>
  </conditionalFormatting>
  <conditionalFormatting sqref="O8:O24">
    <cfRule type="expression" dxfId="3" priority="1" stopIfTrue="1">
      <formula>OR(O8-K8&gt;=0.005,O8-K8&lt;=-0.005)</formula>
    </cfRule>
  </conditionalFormatting>
  <conditionalFormatting sqref="N8:N24 E8:E24">
    <cfRule type="expression" dxfId="2" priority="3" stopIfTrue="1">
      <formula>$N8&lt;&gt;""</formula>
    </cfRule>
  </conditionalFormatting>
  <conditionalFormatting sqref="B8:E24">
    <cfRule type="expression" dxfId="1" priority="4" stopIfTrue="1">
      <formula>AND(OR($B8=$V$5,$B8=$V$6),$N8&lt;&gt;"")</formula>
    </cfRule>
  </conditionalFormatting>
  <conditionalFormatting sqref="F8:F24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2023-03-29T09:29:33Z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