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Risk Rated\Dealing and Rebalancing\Rebalancers\"/>
    </mc:Choice>
  </mc:AlternateContent>
  <xr:revisionPtr revIDLastSave="0" documentId="8_{9E30ED8C-744E-4827-821B-63CDCC09DEDC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Rebalancer!$8:$21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Rebalancer!$A$1:$Q$26</definedName>
    <definedName name="VALU_BV">Rebalancer!$I$24</definedName>
    <definedName name="VALU_JC">Rebalancer!$G$24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D14" i="3"/>
  <c r="D20" i="3"/>
  <c r="D13" i="3"/>
  <c r="D12" i="3"/>
  <c r="D11" i="3"/>
  <c r="D7" i="3"/>
  <c r="D19" i="3"/>
  <c r="D8" i="3"/>
  <c r="D10" i="3"/>
  <c r="D18" i="3"/>
  <c r="D17" i="3"/>
  <c r="D9" i="3"/>
  <c r="D16" i="3"/>
  <c r="B6" i="1"/>
  <c r="M28" i="3" l="1"/>
  <c r="D15" i="3" l="1"/>
  <c r="J35" i="3"/>
  <c r="J51" i="3"/>
  <c r="J48" i="3"/>
  <c r="L47" i="3"/>
  <c r="K47" i="3"/>
  <c r="J47" i="3"/>
  <c r="F47" i="3"/>
  <c r="L46" i="3"/>
  <c r="K46" i="3"/>
  <c r="J46" i="3"/>
  <c r="F46" i="3"/>
  <c r="J45" i="3"/>
  <c r="J44" i="3"/>
  <c r="J43" i="3"/>
  <c r="J42" i="3"/>
  <c r="J41" i="3"/>
  <c r="J40" i="3"/>
  <c r="J39" i="3"/>
  <c r="J34" i="3"/>
  <c r="J33" i="3"/>
  <c r="J32" i="3"/>
  <c r="K26" i="3"/>
  <c r="F24" i="3"/>
  <c r="F26" i="3" s="1" a="1"/>
  <c r="F26" i="3" s="1"/>
  <c r="B4" i="3"/>
  <c r="B3" i="3"/>
  <c r="L1" i="3"/>
  <c r="B14" i="1"/>
  <c r="B12" i="1"/>
  <c r="B5" i="1"/>
  <c r="J14" i="3" l="1"/>
  <c r="J19" i="3"/>
  <c r="J16" i="3"/>
  <c r="J11" i="3"/>
  <c r="J21" i="3"/>
  <c r="J20" i="3"/>
  <c r="J12" i="3"/>
  <c r="J7" i="3"/>
  <c r="J8" i="3"/>
  <c r="J18" i="3"/>
  <c r="J9" i="3"/>
  <c r="J13" i="3"/>
  <c r="J10" i="3"/>
  <c r="J17" i="3"/>
  <c r="J36" i="3"/>
  <c r="J49" i="3"/>
  <c r="M24" i="3"/>
  <c r="O7" i="3" l="1"/>
  <c r="L7" i="3"/>
  <c r="O12" i="3"/>
  <c r="L12" i="3"/>
  <c r="L17" i="3"/>
  <c r="O17" i="3"/>
  <c r="O21" i="3"/>
  <c r="L21" i="3"/>
  <c r="O13" i="3"/>
  <c r="L13" i="3"/>
  <c r="O9" i="3"/>
  <c r="L9" i="3"/>
  <c r="O16" i="3"/>
  <c r="L16" i="3"/>
  <c r="O20" i="3"/>
  <c r="L20" i="3"/>
  <c r="O10" i="3"/>
  <c r="L10" i="3"/>
  <c r="O11" i="3"/>
  <c r="L11" i="3"/>
  <c r="O18" i="3"/>
  <c r="L18" i="3"/>
  <c r="O19" i="3"/>
  <c r="L19" i="3"/>
  <c r="O8" i="3"/>
  <c r="L8" i="3"/>
  <c r="L14" i="3"/>
  <c r="O14" i="3"/>
  <c r="J15" i="3"/>
  <c r="K35" i="3" s="1"/>
  <c r="J52" i="3"/>
  <c r="O24" i="3"/>
  <c r="M29" i="3"/>
  <c r="J24" i="3"/>
  <c r="K48" i="3"/>
  <c r="L41" i="3" l="1"/>
  <c r="K43" i="3"/>
  <c r="K51" i="3"/>
  <c r="O15" i="3"/>
  <c r="L15" i="3"/>
  <c r="F33" i="3"/>
  <c r="K40" i="3"/>
  <c r="K33" i="3"/>
  <c r="I26" i="3"/>
  <c r="B28" i="3" s="1"/>
  <c r="K34" i="3"/>
  <c r="K32" i="3"/>
  <c r="L48" i="3"/>
  <c r="F48" i="3"/>
  <c r="K41" i="3"/>
  <c r="K42" i="3"/>
  <c r="K44" i="3"/>
  <c r="L51" i="3"/>
  <c r="F34" i="3"/>
  <c r="L34" i="3"/>
  <c r="K45" i="3"/>
  <c r="K39" i="3"/>
  <c r="F35" i="3" l="1"/>
  <c r="L28" i="3"/>
  <c r="L29" i="3" s="1"/>
  <c r="L43" i="3"/>
  <c r="L45" i="3"/>
  <c r="F40" i="3"/>
  <c r="L40" i="3"/>
  <c r="L33" i="3"/>
  <c r="F44" i="3"/>
  <c r="F41" i="3"/>
  <c r="L32" i="3"/>
  <c r="K36" i="3"/>
  <c r="K49" i="3"/>
  <c r="F51" i="3"/>
  <c r="L35" i="3"/>
  <c r="F32" i="3"/>
  <c r="G32" i="3" s="1"/>
  <c r="H32" i="3" s="1"/>
  <c r="I32" i="3" s="1"/>
  <c r="L42" i="3"/>
  <c r="F39" i="3"/>
  <c r="F43" i="3"/>
  <c r="F45" i="3"/>
  <c r="L39" i="3"/>
  <c r="L24" i="3"/>
  <c r="F42" i="3"/>
  <c r="L44" i="3"/>
  <c r="F49" i="3" l="1"/>
  <c r="K52" i="3"/>
  <c r="L36" i="3"/>
  <c r="F36" i="3"/>
  <c r="L49" i="3"/>
  <c r="F52" i="3" l="1"/>
  <c r="L5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<sst xmlns="http://schemas.openxmlformats.org/spreadsheetml/2006/main" count="187" uniqueCount="127">
  <si>
    <t>Parms</t>
  </si>
  <si>
    <t>Filters</t>
  </si>
  <si>
    <t>Data Source</t>
  </si>
  <si>
    <t>DIST</t>
  </si>
  <si>
    <t>PARM_Account</t>
  </si>
  <si>
    <t>AG</t>
  </si>
  <si>
    <t>=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</si>
  <si>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</si>
  <si>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</si>
  <si>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</si>
  <si>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</si>
  <si>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</si>
  <si>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</si>
  <si>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</si>
  <si>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</si>
  <si>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</si>
  <si>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</si>
  <si>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</si>
  <si>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</si>
  <si>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</si>
  <si>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</si>
  <si>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</si>
  <si>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</si>
  <si>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</si>
  <si>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</si>
  <si>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</si>
  <si>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</si>
  <si>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</si>
  <si>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</si>
  <si>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</si>
  <si>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</si>
  <si>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</si>
  <si>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</si>
  <si>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</si>
  <si>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</si>
  <si>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</si>
  <si>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</si>
  <si>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</si>
  <si>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</si>
  <si>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</si>
  <si>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</si>
  <si>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</si>
  <si>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</si>
  <si>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</si>
  <si>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</si>
  <si>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</si>
  <si>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</si>
  <si>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</si>
  <si>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</si>
  <si>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</si>
  <si>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</si>
  <si>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</si>
  <si>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</si>
  <si>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</si>
  <si>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</si>
  <si>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</si>
  <si>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</si>
  <si>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</si>
  <si>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</si>
  <si>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</si>
  <si>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</si>
  <si>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</si>
  <si>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</si>
  <si>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</si>
  <si>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</si>
  <si>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</si>
  <si>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</si>
  <si>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</si>
  <si>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</si>
  <si>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</si>
  <si>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</si>
  <si>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</si>
  <si>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</si>
  <si>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</si>
  <si>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</si>
  <si>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S:MF:G</t>
  </si>
  <si>
    <t>MF</t>
  </si>
  <si>
    <t>G</t>
  </si>
  <si>
    <t>AVIVA UK EQUITY INCOME SC 2</t>
  </si>
  <si>
    <t>ARTEMIS INCOME INSTITUTIONAL ACC</t>
  </si>
  <si>
    <t>ROYAL LONDON GLOBAL INDEX LINKED Z INC</t>
  </si>
  <si>
    <t>VANGUARD FTSE UK EQUITY INCOME INDEX GBP ACC</t>
  </si>
  <si>
    <t>FRANKLIN UK EQUITY INCOME FUND W ACC</t>
  </si>
  <si>
    <t>FIDELITY SHORT DATES CORPORATE BOND W GROSS ACC</t>
  </si>
  <si>
    <t>SCHRODER ASIAN INCOME L ACC</t>
  </si>
  <si>
    <t>GAM UK EQUITY INCOME-ZSDA</t>
  </si>
  <si>
    <t>ARTEMIS TGT BD FD F ACC</t>
  </si>
  <si>
    <t>L&amp;G SHORT DATED STERLING CORPORATE BOND INDEX FUND</t>
  </si>
  <si>
    <t>ROYAL LONDON STERLING CREDIT Z ACC</t>
  </si>
  <si>
    <t>UK Treasury 0.125 31/01/24</t>
  </si>
  <si>
    <t>ALLIANZ UK EQUITY INCOME FUND CLASS E SHARES INCOM</t>
  </si>
  <si>
    <t>BLACKROCK CORPORATE BOND X ACC</t>
  </si>
  <si>
    <t>THREADNEEDLE UK EQUITY INCOME INSTL ACC</t>
  </si>
  <si>
    <t>GBP</t>
  </si>
  <si>
    <t>B2PLJH1</t>
  </si>
  <si>
    <t>B53R4H7</t>
  </si>
  <si>
    <t>B59G4H8</t>
  </si>
  <si>
    <t>B7DRD63</t>
  </si>
  <si>
    <t>BDCG0G2</t>
  </si>
  <si>
    <t>BDD2973</t>
  </si>
  <si>
    <t>BF7M7V3</t>
  </si>
  <si>
    <t>BJXPPK9</t>
  </si>
  <si>
    <t>BKGR3F0</t>
  </si>
  <si>
    <t>BKLJX95</t>
  </si>
  <si>
    <t>BMGR279</t>
  </si>
  <si>
    <t>BMH6XK5</t>
  </si>
  <si>
    <t>BQJZV59</t>
  </si>
  <si>
    <t>BYSWX51</t>
  </si>
  <si>
    <t>GB0004460803</t>
  </si>
  <si>
    <t>GB00B2PLJH12</t>
  </si>
  <si>
    <t>GB00B53R4H74</t>
  </si>
  <si>
    <t>GB00B59G4H82</t>
  </si>
  <si>
    <t>GB00B7DRD638</t>
  </si>
  <si>
    <t>GB00BDCG0G22</t>
  </si>
  <si>
    <t>GB00BDD29732</t>
  </si>
  <si>
    <t>GB00BF7M7V38</t>
  </si>
  <si>
    <t>GB00BJXPPK95</t>
  </si>
  <si>
    <t>GB00BKGR3F07</t>
  </si>
  <si>
    <t>GB00BKLJX955</t>
  </si>
  <si>
    <t>GB00BMGR2791</t>
  </si>
  <si>
    <t>GB00BMH6XK58</t>
  </si>
  <si>
    <t>GB00BQJZV592</t>
  </si>
  <si>
    <t>GB00BYSWX517</t>
  </si>
  <si>
    <t>PROVIDENCE</t>
  </si>
  <si>
    <t>CIS</t>
  </si>
  <si>
    <t>Absolute return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</si>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</sst>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J8" sqref="J8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392125</v>
      </c>
      <c r="G2" t="s">
        <v>5</v>
      </c>
      <c r="H2" t="s">
        <v>6</v>
      </c>
      <c r="I2" t="s">
        <v>75</v>
      </c>
    </row>
    <row r="3" spans="1:9" x14ac:dyDescent="0.35">
      <c r="A3" t="s">
        <v>7</v>
      </c>
      <c r="B3" t="s">
        <v>8</v>
      </c>
      <c r="D3" t="s">
        <v>9</v>
      </c>
      <c r="E3" s="2">
        <v>45014</v>
      </c>
      <c r="G3" t="s">
        <v>10</v>
      </c>
      <c r="H3" t="s">
        <v>11</v>
      </c>
      <c r="I3">
        <v>0</v>
      </c>
    </row>
    <row r="5" spans="1:9" x14ac:dyDescent="0.35">
      <c r="A5" t="s">
        <v>12</v>
      </c>
      <c r="B5">
        <f>PARM_Account</f>
        <v>392125</v>
      </c>
    </row>
    <row r="6" spans="1:9" x14ac:dyDescent="0.35">
      <c r="A6" t="s">
        <v>13</v>
      </c>
      <c r="B6" s="1">
        <f>PARM_Date</f>
        <v>45014</v>
      </c>
    </row>
    <row r="7" spans="1:9" x14ac:dyDescent="0.35">
      <c r="A7" t="s">
        <v>14</v>
      </c>
      <c r="B7" t="s">
        <v>15</v>
      </c>
    </row>
    <row r="9" spans="1:9" x14ac:dyDescent="0.35">
      <c r="A9" t="s">
        <v>2</v>
      </c>
      <c r="B9" t="s">
        <v>16</v>
      </c>
    </row>
    <row r="10" spans="1:9" x14ac:dyDescent="0.35">
      <c r="A10" t="s">
        <v>7</v>
      </c>
      <c r="B10" t="s">
        <v>17</v>
      </c>
    </row>
    <row r="12" spans="1:9" x14ac:dyDescent="0.35">
      <c r="A12" t="s">
        <v>12</v>
      </c>
      <c r="B12">
        <f>PARM_Account</f>
        <v>392125</v>
      </c>
    </row>
    <row r="13" spans="1:9" x14ac:dyDescent="0.35">
      <c r="A13" t="s">
        <v>18</v>
      </c>
      <c r="B13" t="s">
        <v>19</v>
      </c>
    </row>
    <row r="14" spans="1:9" x14ac:dyDescent="0.35">
      <c r="A14" t="s">
        <v>13</v>
      </c>
      <c r="B14" s="1">
        <f>PARM_Date</f>
        <v>45014</v>
      </c>
    </row>
    <row r="15" spans="1:9" x14ac:dyDescent="0.35">
      <c r="A15" t="s">
        <v>20</v>
      </c>
      <c r="B15" t="s">
        <v>21</v>
      </c>
    </row>
    <row r="16" spans="1:9" x14ac:dyDescent="0.35">
      <c r="A16" t="s">
        <v>22</v>
      </c>
      <c r="B16" t="s">
        <v>23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2"/>
  <sheetViews>
    <sheetView showGridLines="0" tabSelected="1" zoomScaleNormal="100" workbookViewId="0">
      <selection activeCell="N8" sqref="N8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2.59765625" style="21" bestFit="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24</v>
      </c>
      <c r="C1" s="60"/>
      <c r="D1" s="60"/>
      <c r="E1" s="60"/>
      <c r="F1" s="60"/>
      <c r="G1" s="60"/>
      <c r="H1" s="60"/>
      <c r="I1" s="60"/>
      <c r="J1" s="60"/>
      <c r="K1" s="51" t="s">
        <v>25</v>
      </c>
      <c r="L1" s="52">
        <f>COUNT(N:N)</f>
        <v>2</v>
      </c>
      <c r="M1" s="50"/>
    </row>
    <row r="2" spans="1:22" ht="13.15" x14ac:dyDescent="0.4">
      <c r="B2" s="64" t="s">
        <v>123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392125</v>
      </c>
      <c r="C4" s="54"/>
      <c r="D4" s="54"/>
    </row>
    <row r="5" spans="1:22" x14ac:dyDescent="0.35">
      <c r="U5" s="5" t="s">
        <v>26</v>
      </c>
      <c r="V5" s="14" t="s">
        <v>27</v>
      </c>
    </row>
    <row r="6" spans="1:22" s="9" customFormat="1" ht="25.5" customHeight="1" x14ac:dyDescent="0.4">
      <c r="B6" s="53" t="s">
        <v>28</v>
      </c>
      <c r="C6" s="53" t="s">
        <v>29</v>
      </c>
      <c r="D6" s="53" t="s">
        <v>30</v>
      </c>
      <c r="E6" s="9" t="s">
        <v>31</v>
      </c>
      <c r="F6" s="10" t="s">
        <v>32</v>
      </c>
      <c r="G6" s="9" t="s">
        <v>71</v>
      </c>
      <c r="H6" s="9" t="s">
        <v>72</v>
      </c>
      <c r="J6" s="11" t="s">
        <v>33</v>
      </c>
      <c r="K6" s="11" t="s">
        <v>34</v>
      </c>
      <c r="L6" s="22" t="s">
        <v>35</v>
      </c>
      <c r="N6" s="45" t="s">
        <v>36</v>
      </c>
      <c r="O6" s="22" t="s">
        <v>37</v>
      </c>
      <c r="P6" s="55" t="s">
        <v>73</v>
      </c>
      <c r="Q6" s="55" t="s">
        <v>74</v>
      </c>
      <c r="U6" s="15" t="s">
        <v>38</v>
      </c>
      <c r="V6" s="14" t="s">
        <v>39</v>
      </c>
    </row>
    <row r="7" spans="1:22" x14ac:dyDescent="0.35">
      <c r="A7" s="5" t="s">
        <v>76</v>
      </c>
      <c r="B7" s="14" t="s">
        <v>101</v>
      </c>
      <c r="C7" s="14" t="s">
        <v>116</v>
      </c>
      <c r="D7" s="48" t="str">
        <f t="shared" ref="D7:D21" si="0">IF(RIGHT(LEFT(C7,11),7)=B7,"OK","CHECK")</f>
        <v>OK</v>
      </c>
      <c r="E7" s="5" t="s">
        <v>86</v>
      </c>
      <c r="F7" s="8">
        <v>7833012.7999999998</v>
      </c>
      <c r="G7" s="5">
        <v>7384061.8439999996</v>
      </c>
      <c r="H7" s="5" t="s">
        <v>93</v>
      </c>
      <c r="J7" s="6">
        <f t="shared" ref="J7:J21" si="1">F7/F$26</f>
        <v>7.1463229689382277E-2</v>
      </c>
      <c r="K7" s="3">
        <v>7.0000000000000007E-2</v>
      </c>
      <c r="L7" s="21">
        <f t="shared" ref="L7:L21" si="2">ROUND((K7-J7)*F$26,-2)</f>
        <v>-160400</v>
      </c>
      <c r="N7" s="44"/>
      <c r="O7" s="23">
        <f t="shared" ref="O7:O21" si="3">IF(OR(N7="",F7=""),J7,(F7+N7)/$F$26)</f>
        <v>7.1463229689382277E-2</v>
      </c>
      <c r="P7" s="15" t="s">
        <v>125</v>
      </c>
      <c r="Q7" s="5" t="s">
        <v>124</v>
      </c>
    </row>
    <row r="8" spans="1:22" s="56" customFormat="1" x14ac:dyDescent="0.35">
      <c r="A8" s="56" t="s">
        <v>76</v>
      </c>
      <c r="B8" s="14" t="s">
        <v>99</v>
      </c>
      <c r="C8" s="14" t="s">
        <v>114</v>
      </c>
      <c r="D8" s="48" t="str">
        <f t="shared" si="0"/>
        <v>OK</v>
      </c>
      <c r="E8" s="56" t="s">
        <v>84</v>
      </c>
      <c r="F8" s="8">
        <v>7889837.0300000003</v>
      </c>
      <c r="G8" s="56">
        <v>7325753.9699999997</v>
      </c>
      <c r="H8" s="56" t="s">
        <v>93</v>
      </c>
      <c r="J8" s="6">
        <f t="shared" si="1"/>
        <v>7.1981656392376095E-2</v>
      </c>
      <c r="K8" s="3">
        <v>7.0000000000000007E-2</v>
      </c>
      <c r="L8" s="21">
        <f t="shared" si="2"/>
        <v>-217200</v>
      </c>
      <c r="M8" s="7"/>
      <c r="N8" s="44">
        <v>-350000</v>
      </c>
      <c r="O8" s="23">
        <f t="shared" si="3"/>
        <v>6.8788487808343665E-2</v>
      </c>
      <c r="P8" s="15" t="s">
        <v>49</v>
      </c>
      <c r="Q8" s="56" t="s">
        <v>124</v>
      </c>
    </row>
    <row r="9" spans="1:22" s="56" customFormat="1" x14ac:dyDescent="0.35">
      <c r="A9" s="56" t="s">
        <v>76</v>
      </c>
      <c r="B9" s="14" t="s">
        <v>95</v>
      </c>
      <c r="C9" s="14" t="s">
        <v>110</v>
      </c>
      <c r="D9" s="48" t="str">
        <f t="shared" si="0"/>
        <v>OK</v>
      </c>
      <c r="E9" s="56" t="s">
        <v>80</v>
      </c>
      <c r="F9" s="8">
        <v>6798204.29</v>
      </c>
      <c r="G9" s="56">
        <v>5473594.4375999998</v>
      </c>
      <c r="H9" s="56" t="s">
        <v>93</v>
      </c>
      <c r="J9" s="6">
        <f t="shared" si="1"/>
        <v>6.2022321047606868E-2</v>
      </c>
      <c r="K9" s="3">
        <v>0.06</v>
      </c>
      <c r="L9" s="21">
        <f t="shared" si="2"/>
        <v>-221700</v>
      </c>
      <c r="M9" s="7"/>
      <c r="N9" s="44"/>
      <c r="O9" s="23">
        <f t="shared" si="3"/>
        <v>6.2022321047606868E-2</v>
      </c>
      <c r="P9" s="15" t="s">
        <v>42</v>
      </c>
      <c r="Q9" s="56" t="s">
        <v>124</v>
      </c>
    </row>
    <row r="10" spans="1:22" s="56" customFormat="1" x14ac:dyDescent="0.35">
      <c r="A10" s="56" t="s">
        <v>43</v>
      </c>
      <c r="B10" s="14" t="s">
        <v>98</v>
      </c>
      <c r="C10" s="14" t="s">
        <v>113</v>
      </c>
      <c r="D10" s="48" t="str">
        <f t="shared" si="0"/>
        <v>OK</v>
      </c>
      <c r="E10" s="56" t="s">
        <v>83</v>
      </c>
      <c r="F10" s="8">
        <v>7968066.7199999997</v>
      </c>
      <c r="G10" s="56">
        <v>750543.19</v>
      </c>
      <c r="H10" s="56" t="s">
        <v>93</v>
      </c>
      <c r="J10" s="6">
        <f t="shared" si="1"/>
        <v>7.269537235936635E-2</v>
      </c>
      <c r="K10" s="3">
        <v>7.0000000000000007E-2</v>
      </c>
      <c r="L10" s="21">
        <f t="shared" si="2"/>
        <v>-295400</v>
      </c>
      <c r="M10" s="7"/>
      <c r="N10" s="44"/>
      <c r="O10" s="23">
        <f t="shared" si="3"/>
        <v>7.269537235936635E-2</v>
      </c>
      <c r="P10" s="15" t="s">
        <v>42</v>
      </c>
      <c r="Q10" s="56" t="s">
        <v>124</v>
      </c>
    </row>
    <row r="11" spans="1:22" s="56" customFormat="1" x14ac:dyDescent="0.35">
      <c r="A11" s="56" t="s">
        <v>76</v>
      </c>
      <c r="B11" s="14" t="s">
        <v>102</v>
      </c>
      <c r="C11" s="14" t="s">
        <v>117</v>
      </c>
      <c r="D11" s="48" t="str">
        <f t="shared" si="0"/>
        <v>OK</v>
      </c>
      <c r="E11" s="56" t="s">
        <v>87</v>
      </c>
      <c r="F11" s="8">
        <v>8154132.71</v>
      </c>
      <c r="G11" s="56">
        <v>14532405.469000001</v>
      </c>
      <c r="H11" s="56" t="s">
        <v>93</v>
      </c>
      <c r="J11" s="6">
        <f t="shared" si="1"/>
        <v>7.4392915427437478E-2</v>
      </c>
      <c r="K11" s="3">
        <v>7.0000000000000007E-2</v>
      </c>
      <c r="L11" s="21">
        <f t="shared" si="2"/>
        <v>-481500</v>
      </c>
      <c r="M11" s="7"/>
      <c r="N11" s="44">
        <v>-750000</v>
      </c>
      <c r="O11" s="23">
        <f t="shared" si="3"/>
        <v>6.7550411318796577E-2</v>
      </c>
      <c r="P11" s="15" t="s">
        <v>42</v>
      </c>
      <c r="Q11" s="56" t="s">
        <v>124</v>
      </c>
    </row>
    <row r="12" spans="1:22" s="56" customFormat="1" x14ac:dyDescent="0.35">
      <c r="A12" s="56" t="s">
        <v>76</v>
      </c>
      <c r="B12" s="14" t="s">
        <v>103</v>
      </c>
      <c r="C12" s="14" t="s">
        <v>118</v>
      </c>
      <c r="D12" s="48" t="str">
        <f t="shared" si="0"/>
        <v>OK</v>
      </c>
      <c r="E12" s="56" t="s">
        <v>88</v>
      </c>
      <c r="F12" s="8">
        <v>5198680.67</v>
      </c>
      <c r="G12" s="56">
        <v>5645830.4413999999</v>
      </c>
      <c r="H12" s="56" t="s">
        <v>93</v>
      </c>
      <c r="J12" s="6">
        <f t="shared" si="1"/>
        <v>4.7429325125315988E-2</v>
      </c>
      <c r="K12" s="3">
        <v>0.05</v>
      </c>
      <c r="L12" s="21">
        <f t="shared" si="2"/>
        <v>281800</v>
      </c>
      <c r="M12" s="7"/>
      <c r="N12" s="44"/>
      <c r="O12" s="23">
        <f t="shared" si="3"/>
        <v>4.7429325125315988E-2</v>
      </c>
      <c r="P12" s="15" t="s">
        <v>42</v>
      </c>
      <c r="Q12" s="56" t="s">
        <v>124</v>
      </c>
    </row>
    <row r="13" spans="1:22" s="56" customFormat="1" x14ac:dyDescent="0.35">
      <c r="A13" s="56" t="s">
        <v>77</v>
      </c>
      <c r="B13" s="14" t="s">
        <v>104</v>
      </c>
      <c r="C13" s="14" t="s">
        <v>119</v>
      </c>
      <c r="D13" s="48" t="str">
        <f t="shared" si="0"/>
        <v>OK</v>
      </c>
      <c r="E13" s="56" t="s">
        <v>89</v>
      </c>
      <c r="F13" s="8">
        <v>2244805.2200000002</v>
      </c>
      <c r="G13" s="56">
        <v>2315784</v>
      </c>
      <c r="H13" s="56" t="s">
        <v>93</v>
      </c>
      <c r="J13" s="6">
        <f t="shared" si="1"/>
        <v>2.0480118587931369E-2</v>
      </c>
      <c r="K13" s="3">
        <v>0.02</v>
      </c>
      <c r="L13" s="21">
        <f t="shared" si="2"/>
        <v>-52600</v>
      </c>
      <c r="M13" s="7"/>
      <c r="N13" s="44"/>
      <c r="O13" s="23">
        <f t="shared" si="3"/>
        <v>2.0480118587931369E-2</v>
      </c>
      <c r="P13" s="15" t="s">
        <v>42</v>
      </c>
      <c r="Q13" s="56" t="s">
        <v>126</v>
      </c>
    </row>
    <row r="14" spans="1:22" s="56" customFormat="1" x14ac:dyDescent="0.35">
      <c r="A14" s="56" t="s">
        <v>43</v>
      </c>
      <c r="B14" s="14" t="s">
        <v>106</v>
      </c>
      <c r="C14" s="14" t="s">
        <v>121</v>
      </c>
      <c r="D14" s="48" t="str">
        <f t="shared" si="0"/>
        <v>OK</v>
      </c>
      <c r="E14" s="56" t="s">
        <v>91</v>
      </c>
      <c r="F14" s="8">
        <v>8657158.9600000009</v>
      </c>
      <c r="G14" s="56">
        <v>6898684.3260000004</v>
      </c>
      <c r="H14" s="56" t="s">
        <v>93</v>
      </c>
      <c r="J14" s="6">
        <f t="shared" si="1"/>
        <v>7.8982194337276448E-2</v>
      </c>
      <c r="K14" s="3">
        <v>0.08</v>
      </c>
      <c r="L14" s="21">
        <f t="shared" si="2"/>
        <v>111600</v>
      </c>
      <c r="M14" s="7"/>
      <c r="N14" s="44"/>
      <c r="O14" s="23">
        <f t="shared" si="3"/>
        <v>7.8982194337276448E-2</v>
      </c>
      <c r="P14" s="15" t="s">
        <v>42</v>
      </c>
      <c r="Q14" s="56" t="s">
        <v>124</v>
      </c>
    </row>
    <row r="15" spans="1:22" s="56" customFormat="1" x14ac:dyDescent="0.35">
      <c r="A15" s="56" t="s">
        <v>76</v>
      </c>
      <c r="B15" s="14">
        <v>446080</v>
      </c>
      <c r="C15" s="14" t="s">
        <v>108</v>
      </c>
      <c r="D15" s="48" t="str">
        <f t="shared" si="0"/>
        <v>CHECK</v>
      </c>
      <c r="E15" s="56" t="s">
        <v>78</v>
      </c>
      <c r="F15" s="8">
        <v>7551451.1900000004</v>
      </c>
      <c r="G15" s="56">
        <v>5348432.0350000001</v>
      </c>
      <c r="H15" s="56" t="s">
        <v>93</v>
      </c>
      <c r="J15" s="6">
        <f t="shared" si="1"/>
        <v>6.8894447725034891E-2</v>
      </c>
      <c r="K15" s="3">
        <v>7.0000000000000007E-2</v>
      </c>
      <c r="L15" s="21">
        <f t="shared" si="2"/>
        <v>121200</v>
      </c>
      <c r="M15" s="7"/>
      <c r="N15" s="44"/>
      <c r="O15" s="23">
        <f t="shared" si="3"/>
        <v>6.8894447725034891E-2</v>
      </c>
      <c r="P15" s="15" t="s">
        <v>66</v>
      </c>
      <c r="Q15" s="56" t="s">
        <v>124</v>
      </c>
    </row>
    <row r="16" spans="1:22" s="56" customFormat="1" x14ac:dyDescent="0.35">
      <c r="A16" s="56" t="s">
        <v>43</v>
      </c>
      <c r="B16" s="14" t="s">
        <v>94</v>
      </c>
      <c r="C16" s="14" t="s">
        <v>109</v>
      </c>
      <c r="D16" s="48" t="str">
        <f t="shared" si="0"/>
        <v>OK</v>
      </c>
      <c r="E16" s="56" t="s">
        <v>79</v>
      </c>
      <c r="F16" s="8">
        <v>7569929.4100000001</v>
      </c>
      <c r="G16" s="56">
        <v>1361596.051</v>
      </c>
      <c r="H16" s="56" t="s">
        <v>93</v>
      </c>
      <c r="J16" s="6">
        <f t="shared" si="1"/>
        <v>6.9063030786728721E-2</v>
      </c>
      <c r="K16" s="3">
        <v>7.0000000000000007E-2</v>
      </c>
      <c r="L16" s="21">
        <f t="shared" si="2"/>
        <v>102700</v>
      </c>
      <c r="M16" s="7"/>
      <c r="N16" s="44"/>
      <c r="O16" s="23">
        <f t="shared" si="3"/>
        <v>6.9063030786728721E-2</v>
      </c>
      <c r="P16" s="15" t="s">
        <v>66</v>
      </c>
      <c r="Q16" s="56" t="s">
        <v>124</v>
      </c>
    </row>
    <row r="17" spans="1:17" s="56" customFormat="1" x14ac:dyDescent="0.35">
      <c r="A17" s="56" t="s">
        <v>43</v>
      </c>
      <c r="B17" s="14" t="s">
        <v>96</v>
      </c>
      <c r="C17" s="14" t="s">
        <v>111</v>
      </c>
      <c r="D17" s="48" t="str">
        <f t="shared" si="0"/>
        <v>OK</v>
      </c>
      <c r="E17" s="56" t="s">
        <v>81</v>
      </c>
      <c r="F17" s="8">
        <v>7832981.8600000003</v>
      </c>
      <c r="G17" s="56">
        <v>25921.7991</v>
      </c>
      <c r="H17" s="56" t="s">
        <v>93</v>
      </c>
      <c r="J17" s="6">
        <f t="shared" si="1"/>
        <v>7.1462947413279451E-2</v>
      </c>
      <c r="K17" s="3">
        <v>7.0000000000000007E-2</v>
      </c>
      <c r="L17" s="21">
        <f t="shared" si="2"/>
        <v>-160400</v>
      </c>
      <c r="M17" s="7"/>
      <c r="N17" s="44"/>
      <c r="O17" s="23">
        <f t="shared" si="3"/>
        <v>7.1462947413279451E-2</v>
      </c>
      <c r="P17" s="15" t="s">
        <v>66</v>
      </c>
      <c r="Q17" s="56" t="s">
        <v>124</v>
      </c>
    </row>
    <row r="18" spans="1:17" s="56" customFormat="1" x14ac:dyDescent="0.35">
      <c r="A18" s="56" t="s">
        <v>76</v>
      </c>
      <c r="B18" s="14" t="s">
        <v>97</v>
      </c>
      <c r="C18" s="14" t="s">
        <v>112</v>
      </c>
      <c r="D18" s="48" t="str">
        <f t="shared" si="0"/>
        <v>OK</v>
      </c>
      <c r="E18" s="56" t="s">
        <v>82</v>
      </c>
      <c r="F18" s="8">
        <v>7808322.0499999998</v>
      </c>
      <c r="G18" s="56">
        <v>3137132.2009999999</v>
      </c>
      <c r="H18" s="56" t="s">
        <v>93</v>
      </c>
      <c r="J18" s="6">
        <f t="shared" si="1"/>
        <v>7.1237967611621711E-2</v>
      </c>
      <c r="K18" s="3">
        <v>7.0000000000000007E-2</v>
      </c>
      <c r="L18" s="21">
        <f t="shared" si="2"/>
        <v>-135700</v>
      </c>
      <c r="M18" s="7"/>
      <c r="N18" s="44"/>
      <c r="O18" s="23">
        <f t="shared" si="3"/>
        <v>7.1237967611621711E-2</v>
      </c>
      <c r="P18" s="15" t="s">
        <v>66</v>
      </c>
      <c r="Q18" s="56" t="s">
        <v>124</v>
      </c>
    </row>
    <row r="19" spans="1:17" s="56" customFormat="1" x14ac:dyDescent="0.35">
      <c r="A19" s="56" t="s">
        <v>76</v>
      </c>
      <c r="B19" s="14" t="s">
        <v>100</v>
      </c>
      <c r="C19" s="14" t="s">
        <v>115</v>
      </c>
      <c r="D19" s="48" t="str">
        <f t="shared" si="0"/>
        <v>OK</v>
      </c>
      <c r="E19" s="56" t="s">
        <v>85</v>
      </c>
      <c r="F19" s="8">
        <v>7456191.9400000004</v>
      </c>
      <c r="G19" s="56">
        <v>618611.97</v>
      </c>
      <c r="H19" s="56" t="s">
        <v>93</v>
      </c>
      <c r="J19" s="6">
        <f t="shared" si="1"/>
        <v>6.8025365312353495E-2</v>
      </c>
      <c r="K19" s="3">
        <v>7.0000000000000007E-2</v>
      </c>
      <c r="L19" s="21">
        <f t="shared" si="2"/>
        <v>216400</v>
      </c>
      <c r="M19" s="7"/>
      <c r="N19" s="44"/>
      <c r="O19" s="23">
        <f t="shared" si="3"/>
        <v>6.8025365312353495E-2</v>
      </c>
      <c r="P19" s="15" t="s">
        <v>66</v>
      </c>
      <c r="Q19" s="56" t="s">
        <v>124</v>
      </c>
    </row>
    <row r="20" spans="1:17" s="56" customFormat="1" x14ac:dyDescent="0.35">
      <c r="A20" s="56" t="s">
        <v>76</v>
      </c>
      <c r="B20" s="14" t="s">
        <v>105</v>
      </c>
      <c r="C20" s="14" t="s">
        <v>120</v>
      </c>
      <c r="D20" s="48" t="str">
        <f t="shared" si="0"/>
        <v>OK</v>
      </c>
      <c r="E20" s="56" t="s">
        <v>90</v>
      </c>
      <c r="F20" s="8">
        <v>7887935.7400000002</v>
      </c>
      <c r="G20" s="56">
        <v>7080096.71</v>
      </c>
      <c r="H20" s="56" t="s">
        <v>93</v>
      </c>
      <c r="J20" s="6">
        <f t="shared" si="1"/>
        <v>7.1964310279527127E-2</v>
      </c>
      <c r="K20" s="3">
        <v>7.0000000000000007E-2</v>
      </c>
      <c r="L20" s="21">
        <f t="shared" si="2"/>
        <v>-215300</v>
      </c>
      <c r="M20" s="7"/>
      <c r="N20" s="44"/>
      <c r="O20" s="23">
        <f t="shared" si="3"/>
        <v>7.1964310279527127E-2</v>
      </c>
      <c r="P20" s="15" t="s">
        <v>66</v>
      </c>
      <c r="Q20" s="56" t="s">
        <v>124</v>
      </c>
    </row>
    <row r="21" spans="1:17" s="56" customFormat="1" x14ac:dyDescent="0.35">
      <c r="A21" s="56" t="s">
        <v>76</v>
      </c>
      <c r="B21" s="14" t="s">
        <v>107</v>
      </c>
      <c r="C21" s="14" t="s">
        <v>122</v>
      </c>
      <c r="D21" s="48" t="str">
        <f t="shared" si="0"/>
        <v>OK</v>
      </c>
      <c r="E21" s="56" t="s">
        <v>92</v>
      </c>
      <c r="F21" s="8">
        <v>7659306.04</v>
      </c>
      <c r="G21" s="56">
        <v>5133583.1388999997</v>
      </c>
      <c r="H21" s="56" t="s">
        <v>93</v>
      </c>
      <c r="J21" s="6">
        <f t="shared" si="1"/>
        <v>6.9878444064050679E-2</v>
      </c>
      <c r="K21" s="3">
        <v>7.0000000000000007E-2</v>
      </c>
      <c r="L21" s="21">
        <f t="shared" si="2"/>
        <v>13300</v>
      </c>
      <c r="M21" s="7"/>
      <c r="N21" s="44"/>
      <c r="O21" s="23">
        <f t="shared" si="3"/>
        <v>6.9878444064050679E-2</v>
      </c>
      <c r="P21" s="15" t="s">
        <v>66</v>
      </c>
      <c r="Q21" s="56" t="s">
        <v>124</v>
      </c>
    </row>
    <row r="22" spans="1:17" ht="13.5" customHeight="1" thickBot="1" x14ac:dyDescent="0.4">
      <c r="E22" s="16"/>
      <c r="K22" s="4"/>
      <c r="L22" s="24"/>
      <c r="M22" s="17"/>
      <c r="N22" s="24"/>
      <c r="O22" s="15"/>
    </row>
    <row r="23" spans="1:17" ht="13.5" customHeight="1" thickBot="1" x14ac:dyDescent="0.45">
      <c r="B23" s="36" t="s">
        <v>51</v>
      </c>
      <c r="C23" s="47"/>
      <c r="D23" s="47"/>
      <c r="E23" s="37"/>
      <c r="F23" s="18">
        <v>-36815.11</v>
      </c>
      <c r="J23" s="38" t="s">
        <v>52</v>
      </c>
      <c r="K23" s="57" t="s">
        <v>34</v>
      </c>
      <c r="L23" s="58"/>
      <c r="M23" s="39" t="s">
        <v>53</v>
      </c>
    </row>
    <row r="24" spans="1:17" x14ac:dyDescent="0.35">
      <c r="A24" s="5" t="s">
        <v>43</v>
      </c>
      <c r="B24" s="61" t="s">
        <v>54</v>
      </c>
      <c r="C24" s="62"/>
      <c r="D24" s="62"/>
      <c r="E24" s="62"/>
      <c r="F24" s="35">
        <f>VALU_JC+VALU_XA-VALU_BV+$F$23</f>
        <v>1098978.5700000071</v>
      </c>
      <c r="G24" s="33">
        <v>12041.01</v>
      </c>
      <c r="H24" s="34">
        <v>109645810.31</v>
      </c>
      <c r="I24" s="34">
        <v>108522057.64</v>
      </c>
      <c r="J24" s="40">
        <f>F24/F26</f>
        <v>1.0026353840711122E-2</v>
      </c>
      <c r="K24" s="41">
        <v>0.02</v>
      </c>
      <c r="L24" s="42">
        <f>F24-SUM(L7:L22)</f>
        <v>2192178.5700000068</v>
      </c>
      <c r="M24" s="43">
        <f>F24-SUM(N7:N23)</f>
        <v>2198978.5700000068</v>
      </c>
      <c r="O24" s="23">
        <f>$M$24/$F$26</f>
        <v>2.0062026533384431E-2</v>
      </c>
      <c r="P24" s="5" t="s">
        <v>55</v>
      </c>
    </row>
    <row r="25" spans="1:17" x14ac:dyDescent="0.35">
      <c r="F25" s="27"/>
      <c r="G25" s="27"/>
      <c r="J25" s="23"/>
    </row>
    <row r="26" spans="1:17" ht="13.15" x14ac:dyDescent="0.4">
      <c r="B26" s="63" t="s">
        <v>56</v>
      </c>
      <c r="C26" s="60"/>
      <c r="D26" s="60"/>
      <c r="E26" s="60"/>
      <c r="F26" s="28" cm="1">
        <f t="array" ref="F26">SUM(SUMIF(A:A,{"S","MF","G"},F:F))</f>
        <v>109608995.2</v>
      </c>
      <c r="I26" s="29">
        <f>MAX(J7:J24)</f>
        <v>7.8982194337276448E-2</v>
      </c>
      <c r="J26" s="23"/>
      <c r="K26" s="6">
        <f>SUM(K7:K25)</f>
        <v>1.0000000000000004</v>
      </c>
    </row>
    <row r="28" spans="1:17" ht="13.15" x14ac:dyDescent="0.4">
      <c r="B28" s="59" t="str">
        <f>IF(I26&gt;0.2,"One or more of the holdings is currently over 20% of the portfolio value, please record the breach and report it to a fund manager",IF(I26&gt;0.15,"One or more of the holdings is over 15% of the portfolio value, please inform a fund manager",""))</f>
        <v/>
      </c>
      <c r="C28" s="60"/>
      <c r="D28" s="60"/>
      <c r="E28" s="60"/>
      <c r="F28" s="60"/>
      <c r="G28" s="60"/>
      <c r="H28" s="60"/>
      <c r="I28" s="60"/>
      <c r="J28" s="60"/>
      <c r="K28" s="11" t="s">
        <v>57</v>
      </c>
      <c r="L28" s="25">
        <f>SUM(L7:L22)</f>
        <v>-1093200</v>
      </c>
      <c r="M28" s="25">
        <f>SUM(N7:N22)</f>
        <v>-1100000</v>
      </c>
      <c r="N28" s="25"/>
    </row>
    <row r="29" spans="1:17" x14ac:dyDescent="0.35">
      <c r="B29" s="60"/>
      <c r="C29" s="60"/>
      <c r="D29" s="60"/>
      <c r="E29" s="60"/>
      <c r="F29" s="60"/>
      <c r="G29" s="60"/>
      <c r="H29" s="60"/>
      <c r="I29" s="60"/>
      <c r="J29" s="60"/>
      <c r="K29" s="6" t="s">
        <v>58</v>
      </c>
      <c r="L29" s="23">
        <f>($F$24-L28)/$F$26</f>
        <v>1.9999987829466086E-2</v>
      </c>
      <c r="M29" s="6">
        <f>($F$24-M28)/$F$26</f>
        <v>2.0062026533384431E-2</v>
      </c>
      <c r="N29" s="23"/>
    </row>
    <row r="30" spans="1:17" x14ac:dyDescent="0.35">
      <c r="B30" s="60"/>
      <c r="C30" s="60"/>
      <c r="D30" s="60"/>
      <c r="E30" s="60"/>
      <c r="F30" s="60"/>
      <c r="G30" s="60"/>
      <c r="H30" s="60"/>
      <c r="I30" s="60"/>
      <c r="J30" s="60"/>
    </row>
    <row r="31" spans="1:17" ht="32.25" customHeight="1" x14ac:dyDescent="0.4">
      <c r="E31" s="19" t="s">
        <v>59</v>
      </c>
      <c r="F31" s="12" t="s">
        <v>60</v>
      </c>
      <c r="G31" s="19"/>
      <c r="H31" s="19"/>
      <c r="I31" s="19"/>
      <c r="J31" s="20" t="s">
        <v>61</v>
      </c>
      <c r="K31" s="20" t="s">
        <v>62</v>
      </c>
      <c r="L31" s="22" t="s">
        <v>63</v>
      </c>
      <c r="M31" s="13"/>
      <c r="N31" s="22"/>
    </row>
    <row r="32" spans="1:17" x14ac:dyDescent="0.35">
      <c r="E32" s="32" t="s">
        <v>42</v>
      </c>
      <c r="F32" s="27">
        <f>SUMIF(P:P,E32,L:L)</f>
        <v>-657800</v>
      </c>
      <c r="G32" s="27">
        <f>SUMIF(P:P,F32,G:G)+SUMIF(P:P,F32,O:O)</f>
        <v>0</v>
      </c>
      <c r="H32" s="27">
        <f>SUMIF(Q:Q,G32,H:H)+SUMIF(Q:Q,G32,P:P)</f>
        <v>0</v>
      </c>
      <c r="I32" s="27">
        <f>SUMIF(R:R,H32,I:I)+SUMIF(R:R,H32,Q:Q)</f>
        <v>0</v>
      </c>
      <c r="J32" s="29">
        <f>SUMIF(P:P,E32,K:K)</f>
        <v>0.35000000000000003</v>
      </c>
      <c r="K32" s="29">
        <f>SUMIF(P:P,E32,$J:$J)</f>
        <v>0.35600224688493448</v>
      </c>
      <c r="L32" s="23">
        <f>SUMIF(P:P,E32,O:O)</f>
        <v>0.34915974277629358</v>
      </c>
    </row>
    <row r="33" spans="5:12" x14ac:dyDescent="0.35">
      <c r="E33" s="32" t="s">
        <v>47</v>
      </c>
      <c r="F33" s="27">
        <f>SUMIF(P:P,E33,L:L)</f>
        <v>0</v>
      </c>
      <c r="J33" s="29">
        <f>SUMIF(P:P,E33,K:K)</f>
        <v>0</v>
      </c>
      <c r="K33" s="29">
        <f>SUMIF(P:P,E33,$J:$J)</f>
        <v>0</v>
      </c>
      <c r="L33" s="23">
        <f>SUMIF(P:P,E33,O:O)</f>
        <v>0</v>
      </c>
    </row>
    <row r="34" spans="5:12" x14ac:dyDescent="0.35">
      <c r="E34" s="46" t="s">
        <v>50</v>
      </c>
      <c r="F34" s="27">
        <f>SUMIF(P:P,E34,L:L)</f>
        <v>0</v>
      </c>
      <c r="J34" s="29">
        <f>SUMIF(P:P,E34,K:K)</f>
        <v>0</v>
      </c>
      <c r="K34" s="29">
        <f>SUMIF(P:P,E34,$J:$J)</f>
        <v>0</v>
      </c>
      <c r="L34" s="23">
        <f>SUMIF(P:P,E34,O:O)</f>
        <v>0</v>
      </c>
    </row>
    <row r="35" spans="5:12" x14ac:dyDescent="0.35">
      <c r="E35" s="15" t="s">
        <v>46</v>
      </c>
      <c r="F35" s="27">
        <f>SUMIF(P:P,E35,L:L)</f>
        <v>-160400</v>
      </c>
      <c r="J35" s="29">
        <f>SUMIF(P:P,E35,K:K)</f>
        <v>7.0000000000000007E-2</v>
      </c>
      <c r="K35" s="29">
        <f>SUMIF(P:P,E35,$J:$J)</f>
        <v>7.1463229689382277E-2</v>
      </c>
      <c r="L35" s="23">
        <f>SUMIF(P:P,E35,O:O)</f>
        <v>7.1463229689382277E-2</v>
      </c>
    </row>
    <row r="36" spans="5:12" ht="13.15" x14ac:dyDescent="0.4">
      <c r="E36" s="9" t="s">
        <v>64</v>
      </c>
      <c r="F36" s="28">
        <f>SUM(F32:F34)</f>
        <v>-657800</v>
      </c>
      <c r="G36" s="30"/>
      <c r="H36" s="30"/>
      <c r="I36" s="30"/>
      <c r="J36" s="26">
        <f>SUM(J32:J35)</f>
        <v>0.42000000000000004</v>
      </c>
      <c r="K36" s="26">
        <f>SUM(K32:K35)</f>
        <v>0.42746547657431677</v>
      </c>
      <c r="L36" s="26">
        <f>SUM(L32:L35)</f>
        <v>0.42062297246567587</v>
      </c>
    </row>
    <row r="37" spans="5:12" x14ac:dyDescent="0.35">
      <c r="F37" s="27"/>
      <c r="J37" s="23"/>
      <c r="K37" s="23"/>
    </row>
    <row r="38" spans="5:12" ht="13.15" x14ac:dyDescent="0.4">
      <c r="E38" s="9" t="s">
        <v>65</v>
      </c>
      <c r="F38" s="27"/>
      <c r="J38" s="23"/>
      <c r="K38" s="23"/>
    </row>
    <row r="39" spans="5:12" x14ac:dyDescent="0.35">
      <c r="E39" s="32" t="s">
        <v>45</v>
      </c>
      <c r="F39" s="27">
        <f t="shared" ref="F39:F48" si="4">SUMIF(P:P,E39,L:L)</f>
        <v>0</v>
      </c>
      <c r="J39" s="29">
        <f t="shared" ref="J39:J48" si="5">SUMIF(P:P,E39,K:K)</f>
        <v>0</v>
      </c>
      <c r="K39" s="29">
        <f t="shared" ref="K39:K48" si="6">SUMIF(P:P,E39,$J:$J)</f>
        <v>0</v>
      </c>
      <c r="L39" s="23">
        <f t="shared" ref="L39:L48" si="7">SUMIF(P:P,E39,O:O)</f>
        <v>0</v>
      </c>
    </row>
    <row r="40" spans="5:12" x14ac:dyDescent="0.35">
      <c r="E40" s="32" t="s">
        <v>66</v>
      </c>
      <c r="F40" s="27">
        <f t="shared" si="4"/>
        <v>-57800</v>
      </c>
      <c r="J40" s="29">
        <f t="shared" si="5"/>
        <v>0.49000000000000005</v>
      </c>
      <c r="K40" s="29">
        <f t="shared" si="6"/>
        <v>0.49052651319259605</v>
      </c>
      <c r="L40" s="23">
        <f t="shared" si="7"/>
        <v>0.49052651319259605</v>
      </c>
    </row>
    <row r="41" spans="5:12" x14ac:dyDescent="0.35">
      <c r="E41" s="32" t="s">
        <v>49</v>
      </c>
      <c r="F41" s="27">
        <f t="shared" si="4"/>
        <v>-217200</v>
      </c>
      <c r="J41" s="29">
        <f t="shared" si="5"/>
        <v>7.0000000000000007E-2</v>
      </c>
      <c r="K41" s="29">
        <f t="shared" si="6"/>
        <v>7.1981656392376095E-2</v>
      </c>
      <c r="L41" s="23">
        <f t="shared" si="7"/>
        <v>6.8788487808343665E-2</v>
      </c>
    </row>
    <row r="42" spans="5:12" x14ac:dyDescent="0.35">
      <c r="E42" s="32" t="s">
        <v>44</v>
      </c>
      <c r="F42" s="27">
        <f t="shared" si="4"/>
        <v>0</v>
      </c>
      <c r="J42" s="29">
        <f t="shared" si="5"/>
        <v>0</v>
      </c>
      <c r="K42" s="29">
        <f t="shared" si="6"/>
        <v>0</v>
      </c>
      <c r="L42" s="23">
        <f t="shared" si="7"/>
        <v>0</v>
      </c>
    </row>
    <row r="43" spans="5:12" x14ac:dyDescent="0.35">
      <c r="E43" s="32" t="s">
        <v>48</v>
      </c>
      <c r="F43" s="27">
        <f t="shared" si="4"/>
        <v>0</v>
      </c>
      <c r="J43" s="29">
        <f t="shared" si="5"/>
        <v>0</v>
      </c>
      <c r="K43" s="29">
        <f t="shared" si="6"/>
        <v>0</v>
      </c>
      <c r="L43" s="23">
        <f t="shared" si="7"/>
        <v>0</v>
      </c>
    </row>
    <row r="44" spans="5:12" x14ac:dyDescent="0.35">
      <c r="E44" s="32" t="s">
        <v>41</v>
      </c>
      <c r="F44" s="27">
        <f t="shared" si="4"/>
        <v>0</v>
      </c>
      <c r="J44" s="29">
        <f t="shared" si="5"/>
        <v>0</v>
      </c>
      <c r="K44" s="29">
        <f t="shared" si="6"/>
        <v>0</v>
      </c>
      <c r="L44" s="23">
        <f t="shared" si="7"/>
        <v>0</v>
      </c>
    </row>
    <row r="45" spans="5:12" x14ac:dyDescent="0.35">
      <c r="E45" s="32" t="s">
        <v>40</v>
      </c>
      <c r="F45" s="27">
        <f t="shared" si="4"/>
        <v>0</v>
      </c>
      <c r="J45" s="29">
        <f t="shared" si="5"/>
        <v>0</v>
      </c>
      <c r="K45" s="29">
        <f t="shared" si="6"/>
        <v>0</v>
      </c>
      <c r="L45" s="23">
        <f t="shared" si="7"/>
        <v>0</v>
      </c>
    </row>
    <row r="46" spans="5:12" x14ac:dyDescent="0.35">
      <c r="E46" s="46" t="s">
        <v>67</v>
      </c>
      <c r="F46" s="27">
        <f t="shared" si="4"/>
        <v>0</v>
      </c>
      <c r="J46" s="29">
        <f t="shared" si="5"/>
        <v>0</v>
      </c>
      <c r="K46" s="29">
        <f t="shared" si="6"/>
        <v>0</v>
      </c>
      <c r="L46" s="23">
        <f t="shared" si="7"/>
        <v>0</v>
      </c>
    </row>
    <row r="47" spans="5:12" x14ac:dyDescent="0.35">
      <c r="E47" s="46" t="s">
        <v>68</v>
      </c>
      <c r="F47" s="27">
        <f t="shared" si="4"/>
        <v>0</v>
      </c>
      <c r="J47" s="29">
        <f t="shared" si="5"/>
        <v>0</v>
      </c>
      <c r="K47" s="29">
        <f t="shared" si="6"/>
        <v>0</v>
      </c>
      <c r="L47" s="23">
        <f t="shared" si="7"/>
        <v>0</v>
      </c>
    </row>
    <row r="48" spans="5:12" x14ac:dyDescent="0.35">
      <c r="E48" s="32" t="s">
        <v>69</v>
      </c>
      <c r="F48" s="27">
        <f t="shared" si="4"/>
        <v>0</v>
      </c>
      <c r="J48" s="29">
        <f t="shared" si="5"/>
        <v>0</v>
      </c>
      <c r="K48" s="29">
        <f t="shared" si="6"/>
        <v>0</v>
      </c>
      <c r="L48" s="23">
        <f t="shared" si="7"/>
        <v>0</v>
      </c>
    </row>
    <row r="49" spans="5:12" ht="13.15" x14ac:dyDescent="0.4">
      <c r="E49" s="9" t="s">
        <v>70</v>
      </c>
      <c r="F49" s="28">
        <f>SUM(F39:F48)</f>
        <v>-275000</v>
      </c>
      <c r="G49" s="30"/>
      <c r="H49" s="30"/>
      <c r="I49" s="30"/>
      <c r="J49" s="31">
        <f>SUM(J39:J48)</f>
        <v>0.56000000000000005</v>
      </c>
      <c r="K49" s="26">
        <f>SUM(K39:K48)</f>
        <v>0.56250816958497218</v>
      </c>
      <c r="L49" s="26">
        <f>SUM(L39:L48)</f>
        <v>0.55931500100093967</v>
      </c>
    </row>
    <row r="50" spans="5:12" x14ac:dyDescent="0.35">
      <c r="F50" s="27"/>
      <c r="J50" s="23"/>
      <c r="K50" s="23"/>
    </row>
    <row r="51" spans="5:12" x14ac:dyDescent="0.35">
      <c r="E51" s="5" t="s">
        <v>55</v>
      </c>
      <c r="F51" s="27">
        <f>SUMIF(O:O,E51,F:F)+SUMIF(O:O,E51,L:L)</f>
        <v>0</v>
      </c>
      <c r="J51" s="29">
        <f>SUMIF(P:P,E51,K:K)</f>
        <v>0.02</v>
      </c>
      <c r="K51" s="29">
        <f>SUMIF(P:P,E51,J:J)</f>
        <v>1.0026353840711122E-2</v>
      </c>
      <c r="L51" s="23">
        <f>SUMIF(P:P,E51,O:O)</f>
        <v>2.0062026533384431E-2</v>
      </c>
    </row>
    <row r="52" spans="5:12" x14ac:dyDescent="0.35">
      <c r="F52" s="23">
        <f>SUM(F36+F49+F51)</f>
        <v>-932800</v>
      </c>
      <c r="J52" s="23">
        <f>SUM(J36+J49+J51)</f>
        <v>1</v>
      </c>
      <c r="K52" s="23">
        <f>SUM(K36+K49+K51)</f>
        <v>1</v>
      </c>
      <c r="L52" s="23">
        <f>SUM(L36+L49+L51)</f>
        <v>1</v>
      </c>
    </row>
  </sheetData>
  <autoFilter ref="A6:V6" xr:uid="{00000000-0001-0000-0200-000000000000}">
    <sortState xmlns:xlrd2="http://schemas.microsoft.com/office/spreadsheetml/2017/richdata2" ref="A7:V21">
      <sortCondition ref="P6"/>
    </sortState>
  </autoFilter>
  <mergeCells count="7">
    <mergeCell ref="K23:L23"/>
    <mergeCell ref="B28:J30"/>
    <mergeCell ref="B24:E24"/>
    <mergeCell ref="B26:E26"/>
    <mergeCell ref="B1:J1"/>
    <mergeCell ref="B2:J2"/>
    <mergeCell ref="B3:J3"/>
  </mergeCells>
  <conditionalFormatting sqref="B28:J30">
    <cfRule type="expression" dxfId="18" priority="185" stopIfTrue="1">
      <formula>$I26&gt;0.2</formula>
    </cfRule>
  </conditionalFormatting>
  <conditionalFormatting sqref="K22:K23">
    <cfRule type="expression" dxfId="17" priority="110" stopIfTrue="1">
      <formula>OR(J22-K22&gt;=0.005,J22-K22&lt;=-0.005)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48 L32:L35">
    <cfRule type="expression" dxfId="14" priority="81" stopIfTrue="1">
      <formula>OR($L32-$J32&gt;=0.005,$L32-$J32&lt;=-0.005)</formula>
    </cfRule>
  </conditionalFormatting>
  <conditionalFormatting sqref="E32:E33">
    <cfRule type="expression" dxfId="13" priority="79" stopIfTrue="1">
      <formula>OR($L32-$J32&gt;=0.005,$L32-$J32&lt;=-0.005)</formula>
    </cfRule>
  </conditionalFormatting>
  <conditionalFormatting sqref="E39:E45">
    <cfRule type="expression" dxfId="12" priority="77" stopIfTrue="1">
      <formula>OR($L39-$J39&gt;=0.005,$L39-$J39&lt;=-0.005)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2:D22">
    <cfRule type="expression" dxfId="10" priority="66" stopIfTrue="1">
      <formula>AND(OR($B22=$V$5,$B22=$V$6),$M22&lt;&gt;"")</formula>
    </cfRule>
  </conditionalFormatting>
  <conditionalFormatting sqref="F22">
    <cfRule type="expression" dxfId="9" priority="64" stopIfTrue="1">
      <formula>AND(OR($B22=$V$5,$B22=$V$6),$M22&lt;&gt;"")</formula>
    </cfRule>
  </conditionalFormatting>
  <conditionalFormatting sqref="E36:E176 N7 E7 E22:E34 N22:N176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39:L48">
    <cfRule type="expression" dxfId="5" priority="51" stopIfTrue="1">
      <formula>OR($L39-$J39&gt;=0.005,$L39-$J39&lt;=-0.005)</formula>
    </cfRule>
  </conditionalFormatting>
  <conditionalFormatting sqref="K8:K21">
    <cfRule type="expression" dxfId="4" priority="2" stopIfTrue="1">
      <formula>OR(J8-K8&gt;=0.005,J8-K8&lt;=-0.005)</formula>
    </cfRule>
  </conditionalFormatting>
  <conditionalFormatting sqref="O8:O21">
    <cfRule type="expression" dxfId="3" priority="1" stopIfTrue="1">
      <formula>OR(O8-K8&gt;=0.005,O8-K8&lt;=-0.005)</formula>
    </cfRule>
  </conditionalFormatting>
  <conditionalFormatting sqref="N8:N21 E8:E21">
    <cfRule type="expression" dxfId="2" priority="3" stopIfTrue="1">
      <formula>$N8&lt;&gt;""</formula>
    </cfRule>
  </conditionalFormatting>
  <conditionalFormatting sqref="B8:E21">
    <cfRule type="expression" dxfId="1" priority="4" stopIfTrue="1">
      <formula>AND(OR($B8=$V$5,$B8=$V$6),$N8&lt;&gt;"")</formula>
    </cfRule>
  </conditionalFormatting>
  <conditionalFormatting sqref="F8:F21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