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Risk Rated\Dealing and Rebalancing\Rebalancers\"/>
    </mc:Choice>
  </mc:AlternateContent>
  <xr:revisionPtr revIDLastSave="0" documentId="8_{A402B3DF-E642-4DE8-8D2C-3C1C85EF4C19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Rebalancer!$8:$23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Rebalancer!$A$1:$Q$28</definedName>
    <definedName name="VALU_BV">Rebalancer!$I$26</definedName>
    <definedName name="VALU_JC">Rebalancer!$G$26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M30" i="3"/>
  <c r="D7" i="3" l="1"/>
  <c r="J37" i="3"/>
  <c r="J53" i="3"/>
  <c r="J50" i="3"/>
  <c r="L49" i="3"/>
  <c r="K49" i="3"/>
  <c r="J49" i="3"/>
  <c r="F49" i="3"/>
  <c r="L48" i="3"/>
  <c r="K48" i="3"/>
  <c r="J48" i="3"/>
  <c r="F48" i="3"/>
  <c r="J47" i="3"/>
  <c r="J46" i="3"/>
  <c r="J45" i="3"/>
  <c r="J44" i="3"/>
  <c r="J43" i="3"/>
  <c r="J42" i="3"/>
  <c r="J41" i="3"/>
  <c r="J36" i="3"/>
  <c r="J35" i="3"/>
  <c r="J34" i="3"/>
  <c r="K28" i="3"/>
  <c r="F26" i="3"/>
  <c r="F28" i="3" s="1" a="1"/>
  <c r="F28" i="3" s="1"/>
  <c r="B4" i="3"/>
  <c r="B3" i="3"/>
  <c r="L1" i="3"/>
  <c r="B14" i="1"/>
  <c r="B12" i="1"/>
  <c r="B5" i="1"/>
  <c r="J20" i="3" l="1"/>
  <c r="J14" i="3"/>
  <c r="J10" i="3"/>
  <c r="J23" i="3"/>
  <c r="J21" i="3"/>
  <c r="J19" i="3"/>
  <c r="J17" i="3"/>
  <c r="J15" i="3"/>
  <c r="J13" i="3"/>
  <c r="J11" i="3"/>
  <c r="J9" i="3"/>
  <c r="J22" i="3"/>
  <c r="J18" i="3"/>
  <c r="J16" i="3"/>
  <c r="J12" i="3"/>
  <c r="J8" i="3"/>
  <c r="J38" i="3"/>
  <c r="J51" i="3"/>
  <c r="M26" i="3"/>
  <c r="O8" i="3" l="1"/>
  <c r="L8" i="3"/>
  <c r="L15" i="3"/>
  <c r="O15" i="3"/>
  <c r="O12" i="3"/>
  <c r="L12" i="3"/>
  <c r="L17" i="3"/>
  <c r="O17" i="3"/>
  <c r="O16" i="3"/>
  <c r="L16" i="3"/>
  <c r="L19" i="3"/>
  <c r="O19" i="3"/>
  <c r="O18" i="3"/>
  <c r="L18" i="3"/>
  <c r="L21" i="3"/>
  <c r="O21" i="3"/>
  <c r="O22" i="3"/>
  <c r="L22" i="3"/>
  <c r="O23" i="3"/>
  <c r="L23" i="3"/>
  <c r="L9" i="3"/>
  <c r="O9" i="3"/>
  <c r="O10" i="3"/>
  <c r="L10" i="3"/>
  <c r="L11" i="3"/>
  <c r="O11" i="3"/>
  <c r="L14" i="3"/>
  <c r="O14" i="3"/>
  <c r="L13" i="3"/>
  <c r="O13" i="3"/>
  <c r="O20" i="3"/>
  <c r="L20" i="3"/>
  <c r="J7" i="3"/>
  <c r="K37" i="3" s="1"/>
  <c r="J54" i="3"/>
  <c r="O26" i="3"/>
  <c r="M31" i="3"/>
  <c r="J26" i="3"/>
  <c r="K50" i="3"/>
  <c r="L43" i="3" l="1"/>
  <c r="K45" i="3"/>
  <c r="K53" i="3"/>
  <c r="O7" i="3"/>
  <c r="L7" i="3"/>
  <c r="F35" i="3"/>
  <c r="K42" i="3"/>
  <c r="K35" i="3"/>
  <c r="I28" i="3"/>
  <c r="B30" i="3" s="1"/>
  <c r="K36" i="3"/>
  <c r="K34" i="3"/>
  <c r="L50" i="3"/>
  <c r="F50" i="3"/>
  <c r="K43" i="3"/>
  <c r="K44" i="3"/>
  <c r="K46" i="3"/>
  <c r="L53" i="3"/>
  <c r="F36" i="3"/>
  <c r="L36" i="3"/>
  <c r="K47" i="3"/>
  <c r="K41" i="3"/>
  <c r="F37" i="3" l="1"/>
  <c r="L30" i="3"/>
  <c r="L31" i="3" s="1"/>
  <c r="L45" i="3"/>
  <c r="L47" i="3"/>
  <c r="F42" i="3"/>
  <c r="L42" i="3"/>
  <c r="L35" i="3"/>
  <c r="F46" i="3"/>
  <c r="F43" i="3"/>
  <c r="L34" i="3"/>
  <c r="K38" i="3"/>
  <c r="K51" i="3"/>
  <c r="F53" i="3"/>
  <c r="L37" i="3"/>
  <c r="F34" i="3"/>
  <c r="G34" i="3" s="1"/>
  <c r="H34" i="3" s="1"/>
  <c r="I34" i="3" s="1"/>
  <c r="L44" i="3"/>
  <c r="F41" i="3"/>
  <c r="F45" i="3"/>
  <c r="F47" i="3"/>
  <c r="L41" i="3"/>
  <c r="L26" i="3"/>
  <c r="F44" i="3"/>
  <c r="L46" i="3"/>
  <c r="F51" i="3" l="1"/>
  <c r="K54" i="3"/>
  <c r="L38" i="3"/>
  <c r="F38" i="3"/>
  <c r="L51" i="3"/>
  <c r="F54" i="3" l="1"/>
  <c r="L5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<sst xmlns="http://schemas.openxmlformats.org/spreadsheetml/2006/main" count="201" uniqueCount="132">
  <si>
    <t>Parms</t>
  </si>
  <si>
    <t>Filters</t>
  </si>
  <si>
    <t>Data Source</t>
  </si>
  <si>
    <t>DIST</t>
  </si>
  <si>
    <t>PARM_Account</t>
  </si>
  <si>
    <t>AG</t>
  </si>
  <si>
    <t>=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</si>
  <si>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</si>
  <si>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</si>
  <si>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</si>
  <si>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</si>
  <si>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</si>
  <si>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</si>
  <si>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</si>
  <si>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</si>
  <si>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</si>
  <si>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</si>
  <si>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</si>
  <si>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</si>
  <si>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</si>
  <si>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</si>
  <si>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</si>
  <si>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</si>
  <si>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</si>
  <si>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</si>
  <si>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</si>
  <si>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</si>
  <si>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</si>
  <si>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</si>
  <si>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</si>
  <si>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</si>
  <si>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</si>
  <si>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</si>
  <si>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</si>
  <si>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</si>
  <si>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</si>
  <si>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</si>
  <si>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</si>
  <si>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</si>
  <si>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</si>
  <si>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</si>
  <si>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</si>
  <si>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</si>
  <si>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</si>
  <si>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</si>
  <si>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</si>
  <si>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</si>
  <si>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</si>
  <si>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</si>
  <si>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</si>
  <si>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</si>
  <si>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</si>
  <si>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</si>
  <si>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</si>
  <si>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</si>
  <si>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</si>
  <si>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</si>
  <si>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</si>
  <si>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</si>
  <si>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</si>
  <si>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</si>
  <si>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</si>
  <si>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</si>
  <si>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</si>
  <si>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</si>
  <si>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</si>
  <si>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</si>
  <si>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</si>
  <si>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</si>
  <si>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</si>
  <si>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</si>
  <si>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</si>
  <si>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</si>
  <si>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</si>
  <si>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</si>
  <si>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S:MF:G</t>
  </si>
  <si>
    <t>MF</t>
  </si>
  <si>
    <t>G</t>
  </si>
  <si>
    <t>SVM UK GROWTH B</t>
  </si>
  <si>
    <t>INVESCO PERPETUAL EUR EQUITY INCOME NO TRAIL ACC</t>
  </si>
  <si>
    <t>JUPITER UK SPECIAL SITUATIONS I ACC</t>
  </si>
  <si>
    <t>VANGUARD US EQUITY INDEX GBP ACC</t>
  </si>
  <si>
    <t>FIDELITY SOUTH EAST ASIA W ACC</t>
  </si>
  <si>
    <t>ISHARES UK EQUITY INDEX (UK) D ACC</t>
  </si>
  <si>
    <t>UBS GLOBAL EMERGING MARKETS EQUITY C ACC</t>
  </si>
  <si>
    <t>ROYAL LONDON SHORT DURATION GLOBAL INDEX LINKED FU</t>
  </si>
  <si>
    <t>SCHRODER ASIAN INCOME L ACC</t>
  </si>
  <si>
    <t>RATHBONE INCOME S ACC</t>
  </si>
  <si>
    <t>FIDELITY INDEX US P ACC</t>
  </si>
  <si>
    <t>L&amp;G SHORT DATED STERLING CORPORATE BOND INDEX FUND</t>
  </si>
  <si>
    <t>ROYAL LONDON STERLING CREDIT Z ACC</t>
  </si>
  <si>
    <t>UK Treasury 0.125 31/01/24</t>
  </si>
  <si>
    <t>ALLIANZ UK EQUITY INCOME FUND CLASS E SHARES INCOM</t>
  </si>
  <si>
    <t>BLACKROCK EUROPEAN DYNAMIC X ACC</t>
  </si>
  <si>
    <t>BLACKROCK UK INCOME X ACC</t>
  </si>
  <si>
    <t>GBP</t>
  </si>
  <si>
    <t>B28J0V3</t>
  </si>
  <si>
    <t>B4KL9F8</t>
  </si>
  <si>
    <t>B5B71Q7</t>
  </si>
  <si>
    <t>B6Y7NF4</t>
  </si>
  <si>
    <t>B7C44X9</t>
  </si>
  <si>
    <t>B7L3415</t>
  </si>
  <si>
    <t>BD050G1</t>
  </si>
  <si>
    <t>BDD2973</t>
  </si>
  <si>
    <t>BHCQVM3</t>
  </si>
  <si>
    <t>BJS8SH1</t>
  </si>
  <si>
    <t>BKGR3F0</t>
  </si>
  <si>
    <t>BKLJX95</t>
  </si>
  <si>
    <t>BMGR279</t>
  </si>
  <si>
    <t>BMH6XK5</t>
  </si>
  <si>
    <t>BW9Z0V0</t>
  </si>
  <si>
    <t>BZ1N2P1</t>
  </si>
  <si>
    <t>GB0032084708</t>
  </si>
  <si>
    <t>GB00B28J0V38</t>
  </si>
  <si>
    <t>GB00B4KL9F89</t>
  </si>
  <si>
    <t>GB00B5B71Q71</t>
  </si>
  <si>
    <t>GB00B6Y7NF43</t>
  </si>
  <si>
    <t>GB00B7C44X99</t>
  </si>
  <si>
    <t>GB00B7L34154</t>
  </si>
  <si>
    <t>GB00BD050G12</t>
  </si>
  <si>
    <t>GB00BDD29732</t>
  </si>
  <si>
    <t>GB00BHCQVM34</t>
  </si>
  <si>
    <t>GB00BJS8SH10</t>
  </si>
  <si>
    <t>GB00BKGR3F07</t>
  </si>
  <si>
    <t>GB00BKLJX955</t>
  </si>
  <si>
    <t>GB00BMGR2791</t>
  </si>
  <si>
    <t>GB00BMH6XK58</t>
  </si>
  <si>
    <t>GB00BW9Z0V08</t>
  </si>
  <si>
    <t>GB00BZ1N2P12</t>
  </si>
  <si>
    <t>SELECT</t>
  </si>
  <si>
    <t>CIS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</si>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</sst>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J8" sqref="J8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392126</v>
      </c>
      <c r="G2" t="s">
        <v>5</v>
      </c>
      <c r="H2" t="s">
        <v>6</v>
      </c>
      <c r="I2" t="s">
        <v>75</v>
      </c>
    </row>
    <row r="3" spans="1:9" x14ac:dyDescent="0.35">
      <c r="A3" t="s">
        <v>7</v>
      </c>
      <c r="B3" t="s">
        <v>8</v>
      </c>
      <c r="D3" t="s">
        <v>9</v>
      </c>
      <c r="E3" s="2">
        <v>45014</v>
      </c>
      <c r="G3" t="s">
        <v>10</v>
      </c>
      <c r="H3" t="s">
        <v>11</v>
      </c>
      <c r="I3">
        <v>0</v>
      </c>
    </row>
    <row r="5" spans="1:9" x14ac:dyDescent="0.35">
      <c r="A5" t="s">
        <v>12</v>
      </c>
      <c r="B5">
        <f>PARM_Account</f>
        <v>392126</v>
      </c>
    </row>
    <row r="6" spans="1:9" x14ac:dyDescent="0.35">
      <c r="A6" t="s">
        <v>13</v>
      </c>
      <c r="B6" s="1">
        <f>PARM_Date</f>
        <v>45014</v>
      </c>
    </row>
    <row r="7" spans="1:9" x14ac:dyDescent="0.35">
      <c r="A7" t="s">
        <v>14</v>
      </c>
      <c r="B7" t="s">
        <v>15</v>
      </c>
    </row>
    <row r="9" spans="1:9" x14ac:dyDescent="0.35">
      <c r="A9" t="s">
        <v>2</v>
      </c>
      <c r="B9" t="s">
        <v>16</v>
      </c>
    </row>
    <row r="10" spans="1:9" x14ac:dyDescent="0.35">
      <c r="A10" t="s">
        <v>7</v>
      </c>
      <c r="B10" t="s">
        <v>17</v>
      </c>
    </row>
    <row r="12" spans="1:9" x14ac:dyDescent="0.35">
      <c r="A12" t="s">
        <v>12</v>
      </c>
      <c r="B12">
        <f>PARM_Account</f>
        <v>392126</v>
      </c>
    </row>
    <row r="13" spans="1:9" x14ac:dyDescent="0.35">
      <c r="A13" t="s">
        <v>18</v>
      </c>
      <c r="B13" t="s">
        <v>19</v>
      </c>
    </row>
    <row r="14" spans="1:9" x14ac:dyDescent="0.35">
      <c r="A14" t="s">
        <v>13</v>
      </c>
      <c r="B14" s="1">
        <f>PARM_Date</f>
        <v>45014</v>
      </c>
    </row>
    <row r="15" spans="1:9" x14ac:dyDescent="0.35">
      <c r="A15" t="s">
        <v>20</v>
      </c>
      <c r="B15" t="s">
        <v>21</v>
      </c>
    </row>
    <row r="16" spans="1:9" x14ac:dyDescent="0.35">
      <c r="A16" t="s">
        <v>22</v>
      </c>
      <c r="B16" t="s">
        <v>23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4"/>
  <sheetViews>
    <sheetView showGridLines="0" tabSelected="1" zoomScaleNormal="100" workbookViewId="0">
      <selection activeCell="F38" sqref="F38:L51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1.265625" style="2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24</v>
      </c>
      <c r="C1" s="60"/>
      <c r="D1" s="60"/>
      <c r="E1" s="60"/>
      <c r="F1" s="60"/>
      <c r="G1" s="60"/>
      <c r="H1" s="60"/>
      <c r="I1" s="60"/>
      <c r="J1" s="60"/>
      <c r="K1" s="51" t="s">
        <v>25</v>
      </c>
      <c r="L1" s="52">
        <f>COUNT(N:N)</f>
        <v>0</v>
      </c>
      <c r="M1" s="50"/>
    </row>
    <row r="2" spans="1:22" ht="13.15" x14ac:dyDescent="0.4">
      <c r="B2" s="64" t="s">
        <v>129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392126</v>
      </c>
      <c r="C4" s="54"/>
      <c r="D4" s="54"/>
    </row>
    <row r="5" spans="1:22" x14ac:dyDescent="0.35">
      <c r="U5" s="5" t="s">
        <v>26</v>
      </c>
      <c r="V5" s="14" t="s">
        <v>27</v>
      </c>
    </row>
    <row r="6" spans="1:22" s="9" customFormat="1" ht="25.5" customHeight="1" x14ac:dyDescent="0.4">
      <c r="B6" s="53" t="s">
        <v>28</v>
      </c>
      <c r="C6" s="53" t="s">
        <v>29</v>
      </c>
      <c r="D6" s="53" t="s">
        <v>30</v>
      </c>
      <c r="E6" s="9" t="s">
        <v>31</v>
      </c>
      <c r="F6" s="10" t="s">
        <v>32</v>
      </c>
      <c r="G6" s="9" t="s">
        <v>71</v>
      </c>
      <c r="H6" s="9" t="s">
        <v>72</v>
      </c>
      <c r="J6" s="11" t="s">
        <v>33</v>
      </c>
      <c r="K6" s="11" t="s">
        <v>34</v>
      </c>
      <c r="L6" s="22" t="s">
        <v>35</v>
      </c>
      <c r="N6" s="45" t="s">
        <v>36</v>
      </c>
      <c r="O6" s="22" t="s">
        <v>37</v>
      </c>
      <c r="P6" s="55" t="s">
        <v>73</v>
      </c>
      <c r="Q6" s="55" t="s">
        <v>74</v>
      </c>
      <c r="U6" s="15" t="s">
        <v>38</v>
      </c>
      <c r="V6" s="14" t="s">
        <v>39</v>
      </c>
    </row>
    <row r="7" spans="1:22" x14ac:dyDescent="0.35">
      <c r="A7" s="5" t="s">
        <v>76</v>
      </c>
      <c r="B7" s="14">
        <v>3208470</v>
      </c>
      <c r="C7" s="14" t="s">
        <v>112</v>
      </c>
      <c r="D7" s="48" t="str">
        <f t="shared" ref="D7" si="0">IF(RIGHT(LEFT(C7,11),7)=B7,"OK","CHECK")</f>
        <v>CHECK</v>
      </c>
      <c r="E7" s="5" t="s">
        <v>78</v>
      </c>
      <c r="F7" s="8">
        <v>8051280.5499999998</v>
      </c>
      <c r="G7" s="5">
        <v>1740817.416</v>
      </c>
      <c r="H7" s="5" t="s">
        <v>95</v>
      </c>
      <c r="J7" s="6">
        <f>F7/F$28</f>
        <v>7.2017048964843608E-2</v>
      </c>
      <c r="K7" s="3">
        <v>7.4999999999999997E-2</v>
      </c>
      <c r="L7" s="21">
        <f>ROUND((K7-J7)*F$28,-2)</f>
        <v>333500</v>
      </c>
      <c r="N7" s="44"/>
      <c r="O7" s="23">
        <f>IF(OR(N7="",F7=""),J7,(F7+N7)/$F$28)</f>
        <v>7.2017048964843608E-2</v>
      </c>
      <c r="P7" s="15" t="s">
        <v>45</v>
      </c>
      <c r="Q7" s="5" t="s">
        <v>130</v>
      </c>
    </row>
    <row r="8" spans="1:22" s="56" customFormat="1" x14ac:dyDescent="0.35">
      <c r="A8" s="56" t="s">
        <v>76</v>
      </c>
      <c r="B8" s="14" t="s">
        <v>96</v>
      </c>
      <c r="C8" s="14" t="s">
        <v>113</v>
      </c>
      <c r="D8" s="48" t="str">
        <f t="shared" ref="D8:D23" si="1">IF(RIGHT(LEFT(C8,11),7)=B8,"OK","CHECK")</f>
        <v>OK</v>
      </c>
      <c r="E8" s="56" t="s">
        <v>79</v>
      </c>
      <c r="F8" s="8">
        <v>3317510.72</v>
      </c>
      <c r="G8" s="56">
        <v>1359078.54</v>
      </c>
      <c r="H8" s="56" t="s">
        <v>95</v>
      </c>
      <c r="J8" s="6">
        <f t="shared" ref="J8:J23" si="2">F8/F$28</f>
        <v>2.9674451222996272E-2</v>
      </c>
      <c r="K8" s="3">
        <v>0.03</v>
      </c>
      <c r="L8" s="21">
        <f t="shared" ref="L8:L23" si="3">ROUND((K8-J8)*F$28,-2)</f>
        <v>36400</v>
      </c>
      <c r="M8" s="7"/>
      <c r="N8" s="44"/>
      <c r="O8" s="23">
        <f t="shared" ref="O8:O23" si="4">IF(OR(N8="",F8=""),J8,(F8+N8)/$F$28)</f>
        <v>2.9674451222996272E-2</v>
      </c>
      <c r="P8" s="15" t="s">
        <v>44</v>
      </c>
      <c r="Q8" s="56" t="s">
        <v>130</v>
      </c>
    </row>
    <row r="9" spans="1:22" s="56" customFormat="1" x14ac:dyDescent="0.35">
      <c r="A9" s="56" t="s">
        <v>43</v>
      </c>
      <c r="B9" s="14" t="s">
        <v>97</v>
      </c>
      <c r="C9" s="14" t="s">
        <v>114</v>
      </c>
      <c r="D9" s="48" t="str">
        <f t="shared" si="1"/>
        <v>OK</v>
      </c>
      <c r="E9" s="56" t="s">
        <v>80</v>
      </c>
      <c r="F9" s="8">
        <v>8515485.1400000006</v>
      </c>
      <c r="G9" s="56">
        <v>2851421.49</v>
      </c>
      <c r="H9" s="56" t="s">
        <v>95</v>
      </c>
      <c r="J9" s="6">
        <f t="shared" si="2"/>
        <v>7.6169263569728446E-2</v>
      </c>
      <c r="K9" s="3">
        <v>7.4999999999999997E-2</v>
      </c>
      <c r="L9" s="21">
        <f t="shared" si="3"/>
        <v>-130700</v>
      </c>
      <c r="M9" s="7"/>
      <c r="N9" s="44"/>
      <c r="O9" s="23">
        <f t="shared" si="4"/>
        <v>7.6169263569728446E-2</v>
      </c>
      <c r="P9" s="15" t="s">
        <v>45</v>
      </c>
      <c r="Q9" s="56" t="s">
        <v>130</v>
      </c>
    </row>
    <row r="10" spans="1:22" s="56" customFormat="1" x14ac:dyDescent="0.35">
      <c r="A10" s="56" t="s">
        <v>76</v>
      </c>
      <c r="B10" s="14" t="s">
        <v>98</v>
      </c>
      <c r="C10" s="14" t="s">
        <v>115</v>
      </c>
      <c r="D10" s="48" t="str">
        <f t="shared" si="1"/>
        <v>OK</v>
      </c>
      <c r="E10" s="56" t="s">
        <v>81</v>
      </c>
      <c r="F10" s="8">
        <v>5703371.2000000002</v>
      </c>
      <c r="G10" s="56">
        <v>8055.6318000000001</v>
      </c>
      <c r="H10" s="56" t="s">
        <v>95</v>
      </c>
      <c r="J10" s="6">
        <f t="shared" si="2"/>
        <v>5.1015482620970012E-2</v>
      </c>
      <c r="K10" s="3">
        <v>0.05</v>
      </c>
      <c r="L10" s="21">
        <f t="shared" si="3"/>
        <v>-113500</v>
      </c>
      <c r="M10" s="7"/>
      <c r="N10" s="44"/>
      <c r="O10" s="23">
        <f t="shared" si="4"/>
        <v>5.1015482620970012E-2</v>
      </c>
      <c r="P10" s="15" t="s">
        <v>48</v>
      </c>
      <c r="Q10" s="56" t="s">
        <v>130</v>
      </c>
    </row>
    <row r="11" spans="1:22" s="56" customFormat="1" x14ac:dyDescent="0.35">
      <c r="A11" s="56" t="s">
        <v>76</v>
      </c>
      <c r="B11" s="14" t="s">
        <v>99</v>
      </c>
      <c r="C11" s="14" t="s">
        <v>116</v>
      </c>
      <c r="D11" s="48" t="str">
        <f t="shared" si="1"/>
        <v>OK</v>
      </c>
      <c r="E11" s="56" t="s">
        <v>82</v>
      </c>
      <c r="F11" s="8">
        <v>6363393.2699999996</v>
      </c>
      <c r="G11" s="56">
        <v>417271.69</v>
      </c>
      <c r="H11" s="56" t="s">
        <v>95</v>
      </c>
      <c r="J11" s="6">
        <f t="shared" si="2"/>
        <v>5.6919244319233946E-2</v>
      </c>
      <c r="K11" s="3">
        <v>5.7500000000000002E-2</v>
      </c>
      <c r="L11" s="21">
        <f t="shared" si="3"/>
        <v>64900</v>
      </c>
      <c r="M11" s="7"/>
      <c r="N11" s="44"/>
      <c r="O11" s="23">
        <f t="shared" si="4"/>
        <v>5.6919244319233946E-2</v>
      </c>
      <c r="P11" s="15" t="s">
        <v>49</v>
      </c>
      <c r="Q11" s="56" t="s">
        <v>130</v>
      </c>
    </row>
    <row r="12" spans="1:22" s="56" customFormat="1" x14ac:dyDescent="0.35">
      <c r="A12" s="56" t="s">
        <v>76</v>
      </c>
      <c r="B12" s="14" t="s">
        <v>100</v>
      </c>
      <c r="C12" s="14" t="s">
        <v>117</v>
      </c>
      <c r="D12" s="48" t="str">
        <f t="shared" si="1"/>
        <v>OK</v>
      </c>
      <c r="E12" s="56" t="s">
        <v>83</v>
      </c>
      <c r="F12" s="8">
        <v>8303423.4500000002</v>
      </c>
      <c r="G12" s="56">
        <v>3170213.594</v>
      </c>
      <c r="H12" s="56" t="s">
        <v>95</v>
      </c>
      <c r="J12" s="6">
        <f t="shared" si="2"/>
        <v>7.4272415358135876E-2</v>
      </c>
      <c r="K12" s="3">
        <v>7.2499999999999995E-2</v>
      </c>
      <c r="L12" s="21">
        <f t="shared" si="3"/>
        <v>-198200</v>
      </c>
      <c r="M12" s="7"/>
      <c r="N12" s="44"/>
      <c r="O12" s="23">
        <f t="shared" si="4"/>
        <v>7.4272415358135876E-2</v>
      </c>
      <c r="P12" s="15" t="s">
        <v>45</v>
      </c>
      <c r="Q12" s="56" t="s">
        <v>130</v>
      </c>
    </row>
    <row r="13" spans="1:22" s="56" customFormat="1" x14ac:dyDescent="0.35">
      <c r="A13" s="56" t="s">
        <v>76</v>
      </c>
      <c r="B13" s="14" t="s">
        <v>101</v>
      </c>
      <c r="C13" s="14" t="s">
        <v>118</v>
      </c>
      <c r="D13" s="48" t="str">
        <f t="shared" si="1"/>
        <v>OK</v>
      </c>
      <c r="E13" s="56" t="s">
        <v>84</v>
      </c>
      <c r="F13" s="8">
        <v>6672637.8200000003</v>
      </c>
      <c r="G13" s="56">
        <v>8007485.6804999998</v>
      </c>
      <c r="H13" s="56" t="s">
        <v>95</v>
      </c>
      <c r="J13" s="6">
        <f t="shared" si="2"/>
        <v>5.9685373230176079E-2</v>
      </c>
      <c r="K13" s="3">
        <v>0.06</v>
      </c>
      <c r="L13" s="21">
        <f t="shared" si="3"/>
        <v>35200</v>
      </c>
      <c r="M13" s="7"/>
      <c r="N13" s="44"/>
      <c r="O13" s="23">
        <f t="shared" si="4"/>
        <v>5.9685373230176079E-2</v>
      </c>
      <c r="P13" s="15" t="s">
        <v>40</v>
      </c>
      <c r="Q13" s="56" t="s">
        <v>130</v>
      </c>
    </row>
    <row r="14" spans="1:22" s="56" customFormat="1" x14ac:dyDescent="0.35">
      <c r="A14" s="56" t="s">
        <v>76</v>
      </c>
      <c r="B14" s="14" t="s">
        <v>102</v>
      </c>
      <c r="C14" s="14" t="s">
        <v>119</v>
      </c>
      <c r="D14" s="48" t="str">
        <f t="shared" si="1"/>
        <v>OK</v>
      </c>
      <c r="E14" s="56" t="s">
        <v>85</v>
      </c>
      <c r="F14" s="8">
        <v>4974342.1399999997</v>
      </c>
      <c r="G14" s="56">
        <v>4670743.7934999997</v>
      </c>
      <c r="H14" s="56" t="s">
        <v>95</v>
      </c>
      <c r="J14" s="6">
        <f t="shared" si="2"/>
        <v>4.4494467586807036E-2</v>
      </c>
      <c r="K14" s="3">
        <v>4.4999999999999998E-2</v>
      </c>
      <c r="L14" s="21">
        <f t="shared" si="3"/>
        <v>56500</v>
      </c>
      <c r="M14" s="7"/>
      <c r="N14" s="44"/>
      <c r="O14" s="23">
        <f t="shared" si="4"/>
        <v>4.4494467586807036E-2</v>
      </c>
      <c r="P14" s="15" t="s">
        <v>42</v>
      </c>
      <c r="Q14" s="56" t="s">
        <v>130</v>
      </c>
    </row>
    <row r="15" spans="1:22" s="56" customFormat="1" x14ac:dyDescent="0.35">
      <c r="A15" s="56" t="s">
        <v>76</v>
      </c>
      <c r="B15" s="14" t="s">
        <v>103</v>
      </c>
      <c r="C15" s="14" t="s">
        <v>120</v>
      </c>
      <c r="D15" s="48" t="str">
        <f t="shared" si="1"/>
        <v>OK</v>
      </c>
      <c r="E15" s="56" t="s">
        <v>86</v>
      </c>
      <c r="F15" s="8">
        <v>7053790.5800000001</v>
      </c>
      <c r="G15" s="56">
        <v>6549480.5800000001</v>
      </c>
      <c r="H15" s="56" t="s">
        <v>95</v>
      </c>
      <c r="J15" s="6">
        <f t="shared" si="2"/>
        <v>6.309470629335015E-2</v>
      </c>
      <c r="K15" s="3">
        <v>0.06</v>
      </c>
      <c r="L15" s="21">
        <f t="shared" si="3"/>
        <v>-346000</v>
      </c>
      <c r="M15" s="7"/>
      <c r="N15" s="44"/>
      <c r="O15" s="23">
        <f t="shared" si="4"/>
        <v>6.309470629335015E-2</v>
      </c>
      <c r="P15" s="15" t="s">
        <v>49</v>
      </c>
      <c r="Q15" s="56" t="s">
        <v>130</v>
      </c>
    </row>
    <row r="16" spans="1:22" s="56" customFormat="1" x14ac:dyDescent="0.35">
      <c r="A16" s="56" t="s">
        <v>43</v>
      </c>
      <c r="B16" s="14" t="s">
        <v>104</v>
      </c>
      <c r="C16" s="14" t="s">
        <v>121</v>
      </c>
      <c r="D16" s="48" t="str">
        <f t="shared" si="1"/>
        <v>OK</v>
      </c>
      <c r="E16" s="56" t="s">
        <v>87</v>
      </c>
      <c r="F16" s="8">
        <v>7935368.1299999999</v>
      </c>
      <c r="G16" s="56">
        <v>415616.62</v>
      </c>
      <c r="H16" s="56" t="s">
        <v>95</v>
      </c>
      <c r="J16" s="6">
        <f t="shared" si="2"/>
        <v>7.0980236202583882E-2</v>
      </c>
      <c r="K16" s="3">
        <v>7.2499999999999995E-2</v>
      </c>
      <c r="L16" s="21">
        <f t="shared" si="3"/>
        <v>169900</v>
      </c>
      <c r="M16" s="7"/>
      <c r="N16" s="44"/>
      <c r="O16" s="23">
        <f t="shared" si="4"/>
        <v>7.0980236202583882E-2</v>
      </c>
      <c r="P16" s="15" t="s">
        <v>66</v>
      </c>
      <c r="Q16" s="56" t="s">
        <v>130</v>
      </c>
    </row>
    <row r="17" spans="1:17" s="56" customFormat="1" x14ac:dyDescent="0.35">
      <c r="A17" s="56" t="s">
        <v>76</v>
      </c>
      <c r="B17" s="14" t="s">
        <v>105</v>
      </c>
      <c r="C17" s="14" t="s">
        <v>122</v>
      </c>
      <c r="D17" s="48" t="str">
        <f t="shared" si="1"/>
        <v>OK</v>
      </c>
      <c r="E17" s="56" t="s">
        <v>88</v>
      </c>
      <c r="F17" s="8">
        <v>5626188.4400000004</v>
      </c>
      <c r="G17" s="56">
        <v>1667166.99</v>
      </c>
      <c r="H17" s="56" t="s">
        <v>95</v>
      </c>
      <c r="J17" s="6">
        <f t="shared" si="2"/>
        <v>5.0325098703574198E-2</v>
      </c>
      <c r="K17" s="3">
        <v>0.05</v>
      </c>
      <c r="L17" s="21">
        <f t="shared" si="3"/>
        <v>-36300</v>
      </c>
      <c r="M17" s="7"/>
      <c r="N17" s="44"/>
      <c r="O17" s="23">
        <f t="shared" si="4"/>
        <v>5.0325098703574198E-2</v>
      </c>
      <c r="P17" s="15" t="s">
        <v>48</v>
      </c>
      <c r="Q17" s="56" t="s">
        <v>130</v>
      </c>
    </row>
    <row r="18" spans="1:17" s="56" customFormat="1" x14ac:dyDescent="0.35">
      <c r="A18" s="56" t="s">
        <v>76</v>
      </c>
      <c r="B18" s="14" t="s">
        <v>106</v>
      </c>
      <c r="C18" s="14" t="s">
        <v>123</v>
      </c>
      <c r="D18" s="48" t="str">
        <f t="shared" si="1"/>
        <v>OK</v>
      </c>
      <c r="E18" s="56" t="s">
        <v>89</v>
      </c>
      <c r="F18" s="8">
        <v>4905563.8499999996</v>
      </c>
      <c r="G18" s="56">
        <v>8742762.1559999995</v>
      </c>
      <c r="H18" s="56" t="s">
        <v>95</v>
      </c>
      <c r="J18" s="6">
        <f t="shared" si="2"/>
        <v>4.3879259925381275E-2</v>
      </c>
      <c r="K18" s="3">
        <v>4.4999999999999998E-2</v>
      </c>
      <c r="L18" s="21">
        <f t="shared" si="3"/>
        <v>125300</v>
      </c>
      <c r="M18" s="7"/>
      <c r="N18" s="44"/>
      <c r="O18" s="23">
        <f t="shared" si="4"/>
        <v>4.3879259925381275E-2</v>
      </c>
      <c r="P18" s="15" t="s">
        <v>42</v>
      </c>
      <c r="Q18" s="56" t="s">
        <v>130</v>
      </c>
    </row>
    <row r="19" spans="1:17" s="56" customFormat="1" x14ac:dyDescent="0.35">
      <c r="A19" s="56" t="s">
        <v>76</v>
      </c>
      <c r="B19" s="14" t="s">
        <v>107</v>
      </c>
      <c r="C19" s="14" t="s">
        <v>124</v>
      </c>
      <c r="D19" s="48" t="str">
        <f t="shared" si="1"/>
        <v>OK</v>
      </c>
      <c r="E19" s="56" t="s">
        <v>90</v>
      </c>
      <c r="F19" s="8">
        <v>10318361.470000001</v>
      </c>
      <c r="G19" s="56">
        <v>11205866.058800001</v>
      </c>
      <c r="H19" s="56" t="s">
        <v>95</v>
      </c>
      <c r="J19" s="6">
        <f t="shared" si="2"/>
        <v>9.2295621622816973E-2</v>
      </c>
      <c r="K19" s="3">
        <v>0.09</v>
      </c>
      <c r="L19" s="21">
        <f t="shared" si="3"/>
        <v>-256600</v>
      </c>
      <c r="M19" s="7"/>
      <c r="N19" s="44"/>
      <c r="O19" s="23">
        <f t="shared" si="4"/>
        <v>9.2295621622816973E-2</v>
      </c>
      <c r="P19" s="15" t="s">
        <v>42</v>
      </c>
      <c r="Q19" s="56" t="s">
        <v>130</v>
      </c>
    </row>
    <row r="20" spans="1:17" s="56" customFormat="1" x14ac:dyDescent="0.35">
      <c r="A20" s="56" t="s">
        <v>77</v>
      </c>
      <c r="B20" s="14" t="s">
        <v>108</v>
      </c>
      <c r="C20" s="14" t="s">
        <v>125</v>
      </c>
      <c r="D20" s="48" t="str">
        <f t="shared" si="1"/>
        <v>OK</v>
      </c>
      <c r="E20" s="56" t="s">
        <v>91</v>
      </c>
      <c r="F20" s="8">
        <v>2192828.67</v>
      </c>
      <c r="G20" s="56">
        <v>2262164</v>
      </c>
      <c r="H20" s="56" t="s">
        <v>95</v>
      </c>
      <c r="J20" s="6">
        <f t="shared" si="2"/>
        <v>1.9614401549937655E-2</v>
      </c>
      <c r="K20" s="3">
        <v>0.02</v>
      </c>
      <c r="L20" s="21">
        <f t="shared" si="3"/>
        <v>43100</v>
      </c>
      <c r="M20" s="7"/>
      <c r="N20" s="44"/>
      <c r="O20" s="23">
        <f t="shared" si="4"/>
        <v>1.9614401549937655E-2</v>
      </c>
      <c r="P20" s="15" t="s">
        <v>42</v>
      </c>
      <c r="Q20" s="56" t="s">
        <v>131</v>
      </c>
    </row>
    <row r="21" spans="1:17" s="56" customFormat="1" x14ac:dyDescent="0.35">
      <c r="A21" s="56" t="s">
        <v>76</v>
      </c>
      <c r="B21" s="14" t="s">
        <v>109</v>
      </c>
      <c r="C21" s="14" t="s">
        <v>126</v>
      </c>
      <c r="D21" s="48" t="str">
        <f t="shared" si="1"/>
        <v>OK</v>
      </c>
      <c r="E21" s="56" t="s">
        <v>92</v>
      </c>
      <c r="F21" s="8">
        <v>8383313.4100000001</v>
      </c>
      <c r="G21" s="56">
        <v>7524740.5199999996</v>
      </c>
      <c r="H21" s="56" t="s">
        <v>95</v>
      </c>
      <c r="J21" s="6">
        <f t="shared" si="2"/>
        <v>7.4987014622860226E-2</v>
      </c>
      <c r="K21" s="3">
        <v>7.4999999999999997E-2</v>
      </c>
      <c r="L21" s="21">
        <f t="shared" si="3"/>
        <v>1500</v>
      </c>
      <c r="M21" s="7"/>
      <c r="N21" s="44"/>
      <c r="O21" s="23">
        <f t="shared" si="4"/>
        <v>7.4987014622860226E-2</v>
      </c>
      <c r="P21" s="15" t="s">
        <v>66</v>
      </c>
      <c r="Q21" s="56" t="s">
        <v>130</v>
      </c>
    </row>
    <row r="22" spans="1:17" s="56" customFormat="1" x14ac:dyDescent="0.35">
      <c r="A22" s="56" t="s">
        <v>76</v>
      </c>
      <c r="B22" s="14" t="s">
        <v>110</v>
      </c>
      <c r="C22" s="14" t="s">
        <v>127</v>
      </c>
      <c r="D22" s="48" t="str">
        <f t="shared" si="1"/>
        <v>OK</v>
      </c>
      <c r="E22" s="56" t="s">
        <v>93</v>
      </c>
      <c r="F22" s="8">
        <v>3495785.94</v>
      </c>
      <c r="G22" s="56">
        <v>1449751.5619999999</v>
      </c>
      <c r="H22" s="56" t="s">
        <v>95</v>
      </c>
      <c r="J22" s="6">
        <f t="shared" si="2"/>
        <v>3.1269086407825129E-2</v>
      </c>
      <c r="K22" s="3">
        <v>0.03</v>
      </c>
      <c r="L22" s="21">
        <f t="shared" si="3"/>
        <v>-141900</v>
      </c>
      <c r="M22" s="7"/>
      <c r="N22" s="44"/>
      <c r="O22" s="23">
        <f t="shared" si="4"/>
        <v>3.1269086407825129E-2</v>
      </c>
      <c r="P22" s="15" t="s">
        <v>44</v>
      </c>
      <c r="Q22" s="56" t="s">
        <v>130</v>
      </c>
    </row>
    <row r="23" spans="1:17" s="56" customFormat="1" x14ac:dyDescent="0.35">
      <c r="A23" s="56" t="s">
        <v>43</v>
      </c>
      <c r="B23" s="14" t="s">
        <v>111</v>
      </c>
      <c r="C23" s="14" t="s">
        <v>128</v>
      </c>
      <c r="D23" s="48" t="str">
        <f t="shared" si="1"/>
        <v>OK</v>
      </c>
      <c r="E23" s="56" t="s">
        <v>94</v>
      </c>
      <c r="F23" s="8">
        <v>8387639.7800000003</v>
      </c>
      <c r="G23" s="56">
        <v>5408937.7539999997</v>
      </c>
      <c r="H23" s="56" t="s">
        <v>95</v>
      </c>
      <c r="J23" s="6">
        <f t="shared" si="2"/>
        <v>7.5025713112894826E-2</v>
      </c>
      <c r="K23" s="3">
        <v>7.4999999999999997E-2</v>
      </c>
      <c r="L23" s="21">
        <f t="shared" si="3"/>
        <v>-2900</v>
      </c>
      <c r="M23" s="7"/>
      <c r="N23" s="44"/>
      <c r="O23" s="23">
        <f t="shared" si="4"/>
        <v>7.5025713112894826E-2</v>
      </c>
      <c r="P23" s="15" t="s">
        <v>66</v>
      </c>
      <c r="Q23" s="56" t="s">
        <v>130</v>
      </c>
    </row>
    <row r="24" spans="1:17" ht="13.5" customHeight="1" thickBot="1" x14ac:dyDescent="0.4">
      <c r="E24" s="16"/>
      <c r="K24" s="4"/>
      <c r="L24" s="24"/>
      <c r="M24" s="17"/>
      <c r="N24" s="24"/>
      <c r="O24" s="15"/>
    </row>
    <row r="25" spans="1:17" ht="13.5" customHeight="1" thickBot="1" x14ac:dyDescent="0.45">
      <c r="B25" s="36" t="s">
        <v>51</v>
      </c>
      <c r="C25" s="47"/>
      <c r="D25" s="47"/>
      <c r="E25" s="37"/>
      <c r="F25" s="18">
        <v>-35139.269999999997</v>
      </c>
      <c r="J25" s="38" t="s">
        <v>52</v>
      </c>
      <c r="K25" s="57" t="s">
        <v>34</v>
      </c>
      <c r="L25" s="58"/>
      <c r="M25" s="39" t="s">
        <v>53</v>
      </c>
    </row>
    <row r="26" spans="1:17" x14ac:dyDescent="0.35">
      <c r="A26" s="5" t="s">
        <v>43</v>
      </c>
      <c r="B26" s="61" t="s">
        <v>54</v>
      </c>
      <c r="C26" s="62"/>
      <c r="D26" s="62"/>
      <c r="E26" s="62"/>
      <c r="F26" s="35">
        <f>VALU_JC+VALU_XA-VALU_BV+$F$25</f>
        <v>1596583.9000000018</v>
      </c>
      <c r="G26" s="33">
        <v>875599.77</v>
      </c>
      <c r="H26" s="34">
        <v>111832007.73</v>
      </c>
      <c r="I26" s="34">
        <v>111075884.33</v>
      </c>
      <c r="J26" s="40">
        <f>F26/F28</f>
        <v>1.4281114685884484E-2</v>
      </c>
      <c r="K26" s="41">
        <v>1.7500000000000002E-2</v>
      </c>
      <c r="L26" s="42">
        <f>F26-SUM(L7:L24)</f>
        <v>1956383.9000000018</v>
      </c>
      <c r="M26" s="43">
        <f>F26-SUM(N7:N25)</f>
        <v>1596583.9000000018</v>
      </c>
      <c r="O26" s="23">
        <f>$M$26/$F$28</f>
        <v>1.4281114685884484E-2</v>
      </c>
      <c r="P26" s="5" t="s">
        <v>55</v>
      </c>
    </row>
    <row r="27" spans="1:17" x14ac:dyDescent="0.35">
      <c r="F27" s="27"/>
      <c r="G27" s="27"/>
      <c r="J27" s="23"/>
    </row>
    <row r="28" spans="1:17" ht="13.15" x14ac:dyDescent="0.4">
      <c r="B28" s="63" t="s">
        <v>56</v>
      </c>
      <c r="C28" s="60"/>
      <c r="D28" s="60"/>
      <c r="E28" s="60"/>
      <c r="F28" s="28" cm="1">
        <f t="array" ref="F28">SUM(SUMIF(A:A,{"S","MF","G"},F:F))</f>
        <v>111796868.45999999</v>
      </c>
      <c r="I28" s="29">
        <f>MAX(J7:J26)</f>
        <v>9.2295621622816973E-2</v>
      </c>
      <c r="J28" s="23"/>
      <c r="K28" s="6">
        <f>SUM(K7:K27)</f>
        <v>0.99999999999999989</v>
      </c>
    </row>
    <row r="30" spans="1:17" ht="13.15" x14ac:dyDescent="0.4">
      <c r="B30" s="59" t="str">
        <f>IF(I28&gt;0.2,"One or more of the holdings is currently over 20% of the portfolio value, please record the breach and report it to a fund manager",IF(I28&gt;0.15,"One or more of the holdings is over 15% of the portfolio value, please inform a fund manager",""))</f>
        <v/>
      </c>
      <c r="C30" s="60"/>
      <c r="D30" s="60"/>
      <c r="E30" s="60"/>
      <c r="F30" s="60"/>
      <c r="G30" s="60"/>
      <c r="H30" s="60"/>
      <c r="I30" s="60"/>
      <c r="J30" s="60"/>
      <c r="K30" s="11" t="s">
        <v>57</v>
      </c>
      <c r="L30" s="25">
        <f>SUM(L7:L24)</f>
        <v>-359800</v>
      </c>
      <c r="M30" s="25">
        <f>SUM(N7:N24)</f>
        <v>0</v>
      </c>
      <c r="N30" s="25"/>
    </row>
    <row r="31" spans="1:17" x14ac:dyDescent="0.35">
      <c r="B31" s="60"/>
      <c r="C31" s="60"/>
      <c r="D31" s="60"/>
      <c r="E31" s="60"/>
      <c r="F31" s="60"/>
      <c r="G31" s="60"/>
      <c r="H31" s="60"/>
      <c r="I31" s="60"/>
      <c r="J31" s="60"/>
      <c r="K31" s="6" t="s">
        <v>58</v>
      </c>
      <c r="L31" s="23">
        <f>($F$26-L30)/$F$28</f>
        <v>1.7499451701547257E-2</v>
      </c>
      <c r="M31" s="6">
        <f>($F$26-M30)/$F$28</f>
        <v>1.4281114685884484E-2</v>
      </c>
      <c r="N31" s="23"/>
    </row>
    <row r="32" spans="1:17" x14ac:dyDescent="0.35">
      <c r="B32" s="60"/>
      <c r="C32" s="60"/>
      <c r="D32" s="60"/>
      <c r="E32" s="60"/>
      <c r="F32" s="60"/>
      <c r="G32" s="60"/>
      <c r="H32" s="60"/>
      <c r="I32" s="60"/>
      <c r="J32" s="60"/>
    </row>
    <row r="33" spans="5:14" ht="32.25" customHeight="1" x14ac:dyDescent="0.4">
      <c r="E33" s="19" t="s">
        <v>59</v>
      </c>
      <c r="F33" s="12" t="s">
        <v>60</v>
      </c>
      <c r="G33" s="19"/>
      <c r="H33" s="19"/>
      <c r="I33" s="19"/>
      <c r="J33" s="20" t="s">
        <v>61</v>
      </c>
      <c r="K33" s="20" t="s">
        <v>62</v>
      </c>
      <c r="L33" s="22" t="s">
        <v>63</v>
      </c>
      <c r="M33" s="13"/>
      <c r="N33" s="22"/>
    </row>
    <row r="34" spans="5:14" x14ac:dyDescent="0.35">
      <c r="E34" s="32" t="s">
        <v>42</v>
      </c>
      <c r="F34" s="27">
        <f>SUMIF(P:P,E34,L:L)</f>
        <v>-31700</v>
      </c>
      <c r="G34" s="27">
        <f>SUMIF(P:P,F34,G:G)+SUMIF(P:P,F34,O:O)</f>
        <v>0</v>
      </c>
      <c r="H34" s="27">
        <f>SUMIF(Q:Q,G34,H:H)+SUMIF(Q:Q,G34,P:P)</f>
        <v>0</v>
      </c>
      <c r="I34" s="27">
        <f>SUMIF(R:R,H34,I:I)+SUMIF(R:R,H34,Q:Q)</f>
        <v>0</v>
      </c>
      <c r="J34" s="29">
        <f>SUMIF(P:P,E34,K:K)</f>
        <v>0.19999999999999998</v>
      </c>
      <c r="K34" s="29">
        <f>SUMIF(P:P,E34,$J:$J)</f>
        <v>0.20028375068494292</v>
      </c>
      <c r="L34" s="23">
        <f>SUMIF(P:P,E34,O:O)</f>
        <v>0.20028375068494292</v>
      </c>
    </row>
    <row r="35" spans="5:14" x14ac:dyDescent="0.35">
      <c r="E35" s="32" t="s">
        <v>47</v>
      </c>
      <c r="F35" s="27">
        <f>SUMIF(P:P,E35,L:L)</f>
        <v>0</v>
      </c>
      <c r="J35" s="29">
        <f>SUMIF(P:P,E35,K:K)</f>
        <v>0</v>
      </c>
      <c r="K35" s="29">
        <f>SUMIF(P:P,E35,$J:$J)</f>
        <v>0</v>
      </c>
      <c r="L35" s="23">
        <f>SUMIF(P:P,E35,O:O)</f>
        <v>0</v>
      </c>
    </row>
    <row r="36" spans="5:14" x14ac:dyDescent="0.35">
      <c r="E36" s="46" t="s">
        <v>50</v>
      </c>
      <c r="F36" s="27">
        <f>SUMIF(P:P,E36,L:L)</f>
        <v>0</v>
      </c>
      <c r="J36" s="29">
        <f>SUMIF(P:P,E36,K:K)</f>
        <v>0</v>
      </c>
      <c r="K36" s="29">
        <f>SUMIF(P:P,E36,$J:$J)</f>
        <v>0</v>
      </c>
      <c r="L36" s="23">
        <f>SUMIF(P:P,E36,O:O)</f>
        <v>0</v>
      </c>
    </row>
    <row r="37" spans="5:14" x14ac:dyDescent="0.35">
      <c r="E37" s="15" t="s">
        <v>46</v>
      </c>
      <c r="F37" s="27">
        <f>SUMIF(P:P,E37,L:L)</f>
        <v>0</v>
      </c>
      <c r="J37" s="29">
        <f>SUMIF(P:P,E37,K:K)</f>
        <v>0</v>
      </c>
      <c r="K37" s="29">
        <f>SUMIF(P:P,E37,$J:$J)</f>
        <v>0</v>
      </c>
      <c r="L37" s="23">
        <f>SUMIF(P:P,E37,O:O)</f>
        <v>0</v>
      </c>
    </row>
    <row r="38" spans="5:14" ht="13.15" x14ac:dyDescent="0.4">
      <c r="E38" s="9" t="s">
        <v>64</v>
      </c>
      <c r="F38" s="28">
        <f>SUM(F34:F36)</f>
        <v>-31700</v>
      </c>
      <c r="G38" s="30"/>
      <c r="H38" s="30"/>
      <c r="I38" s="30"/>
      <c r="J38" s="26">
        <f>SUM(J34:J37)</f>
        <v>0.19999999999999998</v>
      </c>
      <c r="K38" s="26">
        <f>SUM(K34:K37)</f>
        <v>0.20028375068494292</v>
      </c>
      <c r="L38" s="26">
        <f>SUM(L34:L37)</f>
        <v>0.20028375068494292</v>
      </c>
    </row>
    <row r="39" spans="5:14" x14ac:dyDescent="0.35">
      <c r="F39" s="27"/>
      <c r="J39" s="23"/>
      <c r="K39" s="23"/>
    </row>
    <row r="40" spans="5:14" ht="13.15" x14ac:dyDescent="0.4">
      <c r="E40" s="9" t="s">
        <v>65</v>
      </c>
      <c r="F40" s="27"/>
      <c r="J40" s="23"/>
      <c r="K40" s="23"/>
    </row>
    <row r="41" spans="5:14" x14ac:dyDescent="0.35">
      <c r="E41" s="32" t="s">
        <v>45</v>
      </c>
      <c r="F41" s="27">
        <f t="shared" ref="F41:F50" si="5">SUMIF(P:P,E41,L:L)</f>
        <v>4600</v>
      </c>
      <c r="J41" s="29">
        <f t="shared" ref="J41:J50" si="6">SUMIF(P:P,E41,K:K)</f>
        <v>0.22249999999999998</v>
      </c>
      <c r="K41" s="29">
        <f t="shared" ref="K41:K50" si="7">SUMIF(P:P,E41,$J:$J)</f>
        <v>0.22245872789270793</v>
      </c>
      <c r="L41" s="23">
        <f t="shared" ref="L41:L50" si="8">SUMIF(P:P,E41,O:O)</f>
        <v>0.22245872789270793</v>
      </c>
    </row>
    <row r="42" spans="5:14" x14ac:dyDescent="0.35">
      <c r="E42" s="32" t="s">
        <v>66</v>
      </c>
      <c r="F42" s="27">
        <f t="shared" si="5"/>
        <v>168500</v>
      </c>
      <c r="J42" s="29">
        <f t="shared" si="6"/>
        <v>0.22249999999999998</v>
      </c>
      <c r="K42" s="29">
        <f t="shared" si="7"/>
        <v>0.22099296393833892</v>
      </c>
      <c r="L42" s="23">
        <f t="shared" si="8"/>
        <v>0.22099296393833892</v>
      </c>
    </row>
    <row r="43" spans="5:14" x14ac:dyDescent="0.35">
      <c r="E43" s="32" t="s">
        <v>49</v>
      </c>
      <c r="F43" s="27">
        <f t="shared" si="5"/>
        <v>-281100</v>
      </c>
      <c r="J43" s="29">
        <f t="shared" si="6"/>
        <v>0.11749999999999999</v>
      </c>
      <c r="K43" s="29">
        <f t="shared" si="7"/>
        <v>0.1200139506125841</v>
      </c>
      <c r="L43" s="23">
        <f t="shared" si="8"/>
        <v>0.1200139506125841</v>
      </c>
    </row>
    <row r="44" spans="5:14" x14ac:dyDescent="0.35">
      <c r="E44" s="32" t="s">
        <v>44</v>
      </c>
      <c r="F44" s="27">
        <f t="shared" si="5"/>
        <v>-105500</v>
      </c>
      <c r="J44" s="29">
        <f t="shared" si="6"/>
        <v>0.06</v>
      </c>
      <c r="K44" s="29">
        <f t="shared" si="7"/>
        <v>6.0943537630821401E-2</v>
      </c>
      <c r="L44" s="23">
        <f t="shared" si="8"/>
        <v>6.0943537630821401E-2</v>
      </c>
    </row>
    <row r="45" spans="5:14" x14ac:dyDescent="0.35">
      <c r="E45" s="32" t="s">
        <v>48</v>
      </c>
      <c r="F45" s="27">
        <f t="shared" si="5"/>
        <v>-149800</v>
      </c>
      <c r="J45" s="29">
        <f t="shared" si="6"/>
        <v>0.1</v>
      </c>
      <c r="K45" s="29">
        <f t="shared" si="7"/>
        <v>0.10134058132454421</v>
      </c>
      <c r="L45" s="23">
        <f t="shared" si="8"/>
        <v>0.10134058132454421</v>
      </c>
    </row>
    <row r="46" spans="5:14" x14ac:dyDescent="0.35">
      <c r="E46" s="32" t="s">
        <v>41</v>
      </c>
      <c r="F46" s="27">
        <f t="shared" si="5"/>
        <v>0</v>
      </c>
      <c r="J46" s="29">
        <f t="shared" si="6"/>
        <v>0</v>
      </c>
      <c r="K46" s="29">
        <f t="shared" si="7"/>
        <v>0</v>
      </c>
      <c r="L46" s="23">
        <f t="shared" si="8"/>
        <v>0</v>
      </c>
    </row>
    <row r="47" spans="5:14" x14ac:dyDescent="0.35">
      <c r="E47" s="32" t="s">
        <v>40</v>
      </c>
      <c r="F47" s="27">
        <f t="shared" si="5"/>
        <v>35200</v>
      </c>
      <c r="J47" s="29">
        <f t="shared" si="6"/>
        <v>0.06</v>
      </c>
      <c r="K47" s="29">
        <f t="shared" si="7"/>
        <v>5.9685373230176079E-2</v>
      </c>
      <c r="L47" s="23">
        <f t="shared" si="8"/>
        <v>5.9685373230176079E-2</v>
      </c>
    </row>
    <row r="48" spans="5:14" x14ac:dyDescent="0.35">
      <c r="E48" s="46" t="s">
        <v>67</v>
      </c>
      <c r="F48" s="27">
        <f t="shared" si="5"/>
        <v>0</v>
      </c>
      <c r="J48" s="29">
        <f t="shared" si="6"/>
        <v>0</v>
      </c>
      <c r="K48" s="29">
        <f t="shared" si="7"/>
        <v>0</v>
      </c>
      <c r="L48" s="23">
        <f t="shared" si="8"/>
        <v>0</v>
      </c>
    </row>
    <row r="49" spans="5:12" x14ac:dyDescent="0.35">
      <c r="E49" s="46" t="s">
        <v>68</v>
      </c>
      <c r="F49" s="27">
        <f t="shared" si="5"/>
        <v>0</v>
      </c>
      <c r="J49" s="29">
        <f t="shared" si="6"/>
        <v>0</v>
      </c>
      <c r="K49" s="29">
        <f t="shared" si="7"/>
        <v>0</v>
      </c>
      <c r="L49" s="23">
        <f t="shared" si="8"/>
        <v>0</v>
      </c>
    </row>
    <row r="50" spans="5:12" x14ac:dyDescent="0.35">
      <c r="E50" s="32" t="s">
        <v>69</v>
      </c>
      <c r="F50" s="27">
        <f t="shared" si="5"/>
        <v>0</v>
      </c>
      <c r="J50" s="29">
        <f t="shared" si="6"/>
        <v>0</v>
      </c>
      <c r="K50" s="29">
        <f t="shared" si="7"/>
        <v>0</v>
      </c>
      <c r="L50" s="23">
        <f t="shared" si="8"/>
        <v>0</v>
      </c>
    </row>
    <row r="51" spans="5:12" ht="13.15" x14ac:dyDescent="0.4">
      <c r="E51" s="9" t="s">
        <v>70</v>
      </c>
      <c r="F51" s="28">
        <f>SUM(F41:F50)</f>
        <v>-328100</v>
      </c>
      <c r="G51" s="30"/>
      <c r="H51" s="30"/>
      <c r="I51" s="30"/>
      <c r="J51" s="31">
        <f>SUM(J41:J50)</f>
        <v>0.78249999999999997</v>
      </c>
      <c r="K51" s="26">
        <f>SUM(K41:K50)</f>
        <v>0.78543513462917258</v>
      </c>
      <c r="L51" s="26">
        <f>SUM(L41:L50)</f>
        <v>0.78543513462917258</v>
      </c>
    </row>
    <row r="52" spans="5:12" x14ac:dyDescent="0.35">
      <c r="F52" s="27"/>
      <c r="J52" s="23"/>
      <c r="K52" s="23"/>
    </row>
    <row r="53" spans="5:12" x14ac:dyDescent="0.35">
      <c r="E53" s="5" t="s">
        <v>55</v>
      </c>
      <c r="F53" s="27">
        <f>SUMIF(O:O,E53,F:F)+SUMIF(O:O,E53,L:L)</f>
        <v>0</v>
      </c>
      <c r="J53" s="29">
        <f>SUMIF(P:P,E53,K:K)</f>
        <v>1.7500000000000002E-2</v>
      </c>
      <c r="K53" s="29">
        <f>SUMIF(P:P,E53,J:J)</f>
        <v>1.4281114685884484E-2</v>
      </c>
      <c r="L53" s="23">
        <f>SUMIF(P:P,E53,O:O)</f>
        <v>1.4281114685884484E-2</v>
      </c>
    </row>
    <row r="54" spans="5:12" x14ac:dyDescent="0.35">
      <c r="F54" s="23">
        <f>SUM(F38+F51+F53)</f>
        <v>-359800</v>
      </c>
      <c r="J54" s="23">
        <f>SUM(J38+J51+J53)</f>
        <v>0.99999999999999989</v>
      </c>
      <c r="K54" s="23">
        <f>SUM(K38+K51+K53)</f>
        <v>0.99999999999999989</v>
      </c>
      <c r="L54" s="23">
        <f>SUM(L38+L51+L53)</f>
        <v>0.99999999999999989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5:L25"/>
    <mergeCell ref="B30:J32"/>
    <mergeCell ref="B26:E26"/>
    <mergeCell ref="B28:E28"/>
    <mergeCell ref="B1:J1"/>
    <mergeCell ref="B2:J2"/>
    <mergeCell ref="B3:J3"/>
  </mergeCells>
  <conditionalFormatting sqref="B30:J32">
    <cfRule type="expression" dxfId="18" priority="185" stopIfTrue="1">
      <formula>$I28&gt;0.2</formula>
    </cfRule>
  </conditionalFormatting>
  <conditionalFormatting sqref="K24:K25">
    <cfRule type="expression" dxfId="17" priority="110" stopIfTrue="1">
      <formula>OR(J24-K24&gt;=0.005,J24-K24&lt;=-0.005)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0 L34:L37">
    <cfRule type="expression" dxfId="14" priority="81" stopIfTrue="1">
      <formula>OR($L34-$J34&gt;=0.005,$L34-$J34&lt;=-0.005)</formula>
    </cfRule>
  </conditionalFormatting>
  <conditionalFormatting sqref="E34:E35">
    <cfRule type="expression" dxfId="13" priority="79" stopIfTrue="1">
      <formula>OR($L34-$J34&gt;=0.005,$L34-$J34&lt;=-0.005)</formula>
    </cfRule>
  </conditionalFormatting>
  <conditionalFormatting sqref="E41:E47">
    <cfRule type="expression" dxfId="12" priority="77" stopIfTrue="1">
      <formula>OR($L41-$J41&gt;=0.005,$L41-$J41&lt;=-0.005)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4:D24">
    <cfRule type="expression" dxfId="10" priority="66" stopIfTrue="1">
      <formula>AND(OR($B24=$V$5,$B24=$V$6),$M24&lt;&gt;"")</formula>
    </cfRule>
  </conditionalFormatting>
  <conditionalFormatting sqref="F24">
    <cfRule type="expression" dxfId="9" priority="64" stopIfTrue="1">
      <formula>AND(OR($B24=$V$5,$B24=$V$6),$M24&lt;&gt;"")</formula>
    </cfRule>
  </conditionalFormatting>
  <conditionalFormatting sqref="E38:E178 N7 E7 E24:E36 N24:N178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1:L50">
    <cfRule type="expression" dxfId="5" priority="51" stopIfTrue="1">
      <formula>OR($L41-$J41&gt;=0.005,$L41-$J41&lt;=-0.005)</formula>
    </cfRule>
  </conditionalFormatting>
  <conditionalFormatting sqref="K8:K23">
    <cfRule type="expression" dxfId="4" priority="2" stopIfTrue="1">
      <formula>OR(J8-K8&gt;=0.005,J8-K8&lt;=-0.005)</formula>
    </cfRule>
  </conditionalFormatting>
  <conditionalFormatting sqref="O8:O23">
    <cfRule type="expression" dxfId="3" priority="1" stopIfTrue="1">
      <formula>OR(O8-K8&gt;=0.005,O8-K8&lt;=-0.005)</formula>
    </cfRule>
  </conditionalFormatting>
  <conditionalFormatting sqref="N8:N23 E8:E23">
    <cfRule type="expression" dxfId="2" priority="3" stopIfTrue="1">
      <formula>$N8&lt;&gt;""</formula>
    </cfRule>
  </conditionalFormatting>
  <conditionalFormatting sqref="B8:E23">
    <cfRule type="expression" dxfId="1" priority="4" stopIfTrue="1">
      <formula>AND(OR($B8=$V$5,$B8=$V$6),$N8&lt;&gt;"")</formula>
    </cfRule>
  </conditionalFormatting>
  <conditionalFormatting sqref="F8:F23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