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deal_checker\"/>
    </mc:Choice>
  </mc:AlternateContent>
  <xr:revisionPtr revIDLastSave="0" documentId="13_ncr:1_{CDD682F6-71B3-4CD2-B640-0CC524FFC718}" xr6:coauthVersionLast="47" xr6:coauthVersionMax="47" xr10:uidLastSave="{00000000-0000-0000-0000-000000000000}"/>
  <bookViews>
    <workbookView xWindow="28605" yWindow="-105" windowWidth="29190" windowHeight="1599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_xlnm._FilterDatabase" localSheetId="2" hidden="1">Rebalancer!$A$6:$V$6</definedName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Rebalancer!$8:$26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Rebalancer!$A$1:$Q$46</definedName>
    <definedName name="VALU_BV">Rebalancer!$I$44</definedName>
    <definedName name="VALU_JC">Rebalancer!$G$44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3" l="1"/>
  <c r="D14" i="3" l="1"/>
  <c r="D17" i="3"/>
  <c r="D25" i="3"/>
  <c r="D13" i="3"/>
  <c r="D12" i="3"/>
  <c r="D8" i="3"/>
  <c r="D7" i="3"/>
  <c r="D19" i="3"/>
  <c r="D16" i="3"/>
  <c r="D24" i="3"/>
  <c r="D23" i="3"/>
  <c r="D10" i="3"/>
  <c r="D26" i="3"/>
  <c r="D18" i="3"/>
  <c r="D11" i="3"/>
  <c r="D15" i="3"/>
  <c r="D21" i="3"/>
  <c r="D9" i="3"/>
  <c r="D20" i="3"/>
  <c r="B6" i="1"/>
  <c r="J55" i="3" l="1"/>
  <c r="J71" i="3"/>
  <c r="J68" i="3"/>
  <c r="L67" i="3"/>
  <c r="K67" i="3"/>
  <c r="F67" i="3"/>
  <c r="L66" i="3"/>
  <c r="K66" i="3"/>
  <c r="J66" i="3"/>
  <c r="F66" i="3"/>
  <c r="J65" i="3"/>
  <c r="J64" i="3"/>
  <c r="J63" i="3"/>
  <c r="J62" i="3"/>
  <c r="J61" i="3"/>
  <c r="J60" i="3"/>
  <c r="J59" i="3"/>
  <c r="J54" i="3"/>
  <c r="J53" i="3"/>
  <c r="J52" i="3"/>
  <c r="M48" i="3"/>
  <c r="K46" i="3"/>
  <c r="F44" i="3"/>
  <c r="D22" i="3"/>
  <c r="B4" i="3"/>
  <c r="B3" i="3"/>
  <c r="L1" i="3"/>
  <c r="B14" i="1"/>
  <c r="B12" i="1"/>
  <c r="B5" i="1"/>
  <c r="J56" i="3" l="1"/>
  <c r="J69" i="3"/>
  <c r="F46" i="3"/>
  <c r="M44" i="3"/>
  <c r="L38" i="3" l="1"/>
  <c r="O38" i="3"/>
  <c r="L31" i="3"/>
  <c r="L35" i="3"/>
  <c r="O28" i="3"/>
  <c r="O32" i="3"/>
  <c r="O36" i="3"/>
  <c r="L29" i="3"/>
  <c r="L33" i="3"/>
  <c r="L37" i="3"/>
  <c r="O33" i="3"/>
  <c r="O31" i="3"/>
  <c r="L32" i="3"/>
  <c r="O29" i="3"/>
  <c r="O37" i="3"/>
  <c r="O34" i="3"/>
  <c r="O35" i="3"/>
  <c r="L28" i="3"/>
  <c r="L36" i="3"/>
  <c r="L30" i="3"/>
  <c r="L34" i="3"/>
  <c r="O30" i="3"/>
  <c r="J14" i="3"/>
  <c r="J25" i="3"/>
  <c r="J12" i="3"/>
  <c r="J7" i="3"/>
  <c r="J16" i="3"/>
  <c r="J23" i="3"/>
  <c r="J26" i="3"/>
  <c r="K63" i="3" s="1"/>
  <c r="J11" i="3"/>
  <c r="J21" i="3"/>
  <c r="J20" i="3"/>
  <c r="J17" i="3"/>
  <c r="J13" i="3"/>
  <c r="J8" i="3"/>
  <c r="J19" i="3"/>
  <c r="J24" i="3"/>
  <c r="J10" i="3"/>
  <c r="J18" i="3"/>
  <c r="J15" i="3"/>
  <c r="J9" i="3"/>
  <c r="J72" i="3"/>
  <c r="O44" i="3"/>
  <c r="L71" i="3" s="1"/>
  <c r="M49" i="3"/>
  <c r="J44" i="3"/>
  <c r="K71" i="3" s="1"/>
  <c r="J22" i="3"/>
  <c r="K55" i="3" l="1"/>
  <c r="L14" i="3"/>
  <c r="F54" i="3" s="1"/>
  <c r="O14" i="3"/>
  <c r="L54" i="3" s="1"/>
  <c r="L24" i="3"/>
  <c r="O24" i="3"/>
  <c r="L26" i="3"/>
  <c r="O26" i="3"/>
  <c r="O9" i="3"/>
  <c r="L9" i="3"/>
  <c r="O17" i="3"/>
  <c r="L17" i="3"/>
  <c r="L12" i="3"/>
  <c r="O12" i="3"/>
  <c r="O20" i="3"/>
  <c r="L68" i="3" s="1"/>
  <c r="L20" i="3"/>
  <c r="F68" i="3" s="1"/>
  <c r="K68" i="3"/>
  <c r="O10" i="3"/>
  <c r="L10" i="3"/>
  <c r="L11" i="3"/>
  <c r="O11" i="3"/>
  <c r="O19" i="3"/>
  <c r="L19" i="3"/>
  <c r="O23" i="3"/>
  <c r="L23" i="3"/>
  <c r="O16" i="3"/>
  <c r="L16" i="3"/>
  <c r="O15" i="3"/>
  <c r="L15" i="3"/>
  <c r="O25" i="3"/>
  <c r="L25" i="3"/>
  <c r="L18" i="3"/>
  <c r="O18" i="3"/>
  <c r="O21" i="3"/>
  <c r="L21" i="3"/>
  <c r="L8" i="3"/>
  <c r="O8" i="3"/>
  <c r="O13" i="3"/>
  <c r="L13" i="3"/>
  <c r="L7" i="3"/>
  <c r="O7" i="3"/>
  <c r="K60" i="3"/>
  <c r="F53" i="3"/>
  <c r="K53" i="3"/>
  <c r="I46" i="3"/>
  <c r="B48" i="3" s="1"/>
  <c r="K54" i="3"/>
  <c r="L63" i="3"/>
  <c r="K52" i="3"/>
  <c r="K61" i="3"/>
  <c r="K62" i="3"/>
  <c r="K64" i="3"/>
  <c r="L22" i="3"/>
  <c r="O22" i="3"/>
  <c r="K65" i="3"/>
  <c r="K59" i="3"/>
  <c r="L61" i="3" l="1"/>
  <c r="F55" i="3"/>
  <c r="F60" i="3"/>
  <c r="L65" i="3"/>
  <c r="L60" i="3"/>
  <c r="L53" i="3"/>
  <c r="F64" i="3"/>
  <c r="F61" i="3"/>
  <c r="L52" i="3"/>
  <c r="K56" i="3"/>
  <c r="K69" i="3"/>
  <c r="L48" i="3"/>
  <c r="L49" i="3" s="1"/>
  <c r="F71" i="3"/>
  <c r="L55" i="3"/>
  <c r="F52" i="3"/>
  <c r="G52" i="3" s="1"/>
  <c r="H52" i="3" s="1"/>
  <c r="I52" i="3" s="1"/>
  <c r="L62" i="3"/>
  <c r="F59" i="3"/>
  <c r="F63" i="3"/>
  <c r="F65" i="3"/>
  <c r="L59" i="3"/>
  <c r="L44" i="3"/>
  <c r="F62" i="3"/>
  <c r="L64" i="3"/>
  <c r="F69" i="3" l="1"/>
  <c r="K72" i="3"/>
  <c r="L56" i="3"/>
  <c r="F56" i="3"/>
  <c r="L69" i="3"/>
  <c r="F72" i="3" l="1"/>
  <c r="L72" i="3"/>
</calcChain>
</file>

<file path=xl/sharedStrings.xml><?xml version="1.0" encoding="utf-8"?>
<sst xmlns="http://schemas.openxmlformats.org/spreadsheetml/2006/main" count="261" uniqueCount="162">
  <si>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</si>
  <si>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</si>
  <si>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</si>
  <si>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</si>
  <si>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</si>
  <si>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</si>
  <si>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</si>
  <si>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</si>
  <si>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</si>
  <si>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</si>
  <si>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</si>
  <si>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</si>
  <si>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</si>
  <si>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</si>
  <si>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</si>
  <si>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</si>
  <si>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</si>
  <si>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</si>
  <si>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</si>
  <si>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</si>
  <si>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</si>
  <si>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</si>
  <si>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</si>
  <si>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</si>
  <si>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</si>
  <si>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</si>
  <si>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</si>
  <si>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</si>
  <si>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</si>
  <si>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</si>
  <si>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</si>
  <si>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</si>
  <si>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</si>
  <si>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</si>
  <si>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</si>
  <si>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</si>
  <si>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</si>
  <si>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</si>
  <si>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</si>
  <si>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</si>
  <si>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</si>
  <si>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</si>
  <si>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</si>
  <si>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</si>
  <si>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</si>
  <si>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</si>
  <si>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</si>
  <si>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</si>
  <si>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</si>
  <si>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</si>
  <si>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</si>
  <si>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</si>
  <si>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</si>
  <si>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</si>
  <si>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</si>
  <si>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</si>
  <si>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</si>
  <si>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</si>
  <si>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</si>
  <si>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</si>
  <si>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</si>
  <si>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</si>
  <si>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</si>
  <si>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</si>
  <si>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</si>
  <si>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</si>
  <si>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</si>
  <si>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</si>
  <si>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</si>
  <si>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</si>
  <si>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</si>
  <si>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</si>
  <si>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</si>
  <si>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</si>
  <si>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MF</t>
  </si>
  <si>
    <t>BLACKROCK UK EQUITY I ACC</t>
  </si>
  <si>
    <t>BAILLIE GIFFORD JAPANESE B ACC</t>
  </si>
  <si>
    <t>STEWART INVESTORS ASA PAC LDRS B ACC GBP</t>
  </si>
  <si>
    <t>ARTEMIS INCOME INSTITUTIONAL ACC</t>
  </si>
  <si>
    <t>HERMES GLOBAL EMERGING MARKETS F ACC</t>
  </si>
  <si>
    <t>ROYAL LONDON GLOBAL INDEX LINKED Z INC</t>
  </si>
  <si>
    <t>ARTEMIS GLOBAL SELECT FUND I ACC</t>
  </si>
  <si>
    <t>FRANKLIN UK EQUITY INCOME FUND W ACC</t>
  </si>
  <si>
    <t>MFM SLATER GROWTH CLASS P ACC</t>
  </si>
  <si>
    <t>LF Blue Whale Growth Fund I Sterling Acc</t>
  </si>
  <si>
    <t>AHFM STRUCTURED PRODUCTS FUND B GBP ACC</t>
  </si>
  <si>
    <t>ARTEMIS TGT BD FD F ACC</t>
  </si>
  <si>
    <t>L&amp;G SHORT DATED STERLING CORPORATE BOND INDEX FUND</t>
  </si>
  <si>
    <t>ALLIANZ UK EQUITY INCOME FUND CLASS E SHARES INCOM</t>
  </si>
  <si>
    <t>BLACKROCK CONTINENTAL EUROPE X ACC</t>
  </si>
  <si>
    <t>MERIAN GOLD &amp; SILVER FUND R GBP ACC</t>
  </si>
  <si>
    <t>GBP</t>
  </si>
  <si>
    <t>B2PLJH1</t>
  </si>
  <si>
    <t>B3DJ5K9</t>
  </si>
  <si>
    <t>B53R4H7</t>
  </si>
  <si>
    <t>B568S20</t>
  </si>
  <si>
    <t>B7DRD63</t>
  </si>
  <si>
    <t>B7T0G90</t>
  </si>
  <si>
    <t>BD6PG56</t>
  </si>
  <si>
    <t>BFLR220</t>
  </si>
  <si>
    <t>BJXPPK9</t>
  </si>
  <si>
    <t>BKGR3F0</t>
  </si>
  <si>
    <t>BMH6XK5</t>
  </si>
  <si>
    <t>BYSXC02</t>
  </si>
  <si>
    <t>BYVJRH9</t>
  </si>
  <si>
    <t>GB0005803530</t>
  </si>
  <si>
    <t>GB0006011133</t>
  </si>
  <si>
    <t>GB0033874768</t>
  </si>
  <si>
    <t>GB00B2PLJH12</t>
  </si>
  <si>
    <t>IE00B3DJ5K90</t>
  </si>
  <si>
    <t>GB00B53R4H74</t>
  </si>
  <si>
    <t>GB00B568S201</t>
  </si>
  <si>
    <t>GB00B7DRD638</t>
  </si>
  <si>
    <t>GB00B7T0G907</t>
  </si>
  <si>
    <t>GB00BD6PG563</t>
  </si>
  <si>
    <t>IE00BFLR2202</t>
  </si>
  <si>
    <t>GB00BJXPPK95</t>
  </si>
  <si>
    <t>GB00BKGR3F07</t>
  </si>
  <si>
    <t>GB00BMH6XK58</t>
  </si>
  <si>
    <t>GB00BYSXC022</t>
  </si>
  <si>
    <t>IE00BYVJRH94</t>
  </si>
  <si>
    <t>CIS</t>
  </si>
  <si>
    <t>Absolute return</t>
  </si>
  <si>
    <t>Europe</t>
  </si>
  <si>
    <t>VANGUARD US EQUITY INDEX GBP ACC</t>
  </si>
  <si>
    <t>FIDELITY SOUTH EAST ASIA W ACC</t>
  </si>
  <si>
    <t>STANDARD LIFE GLOBAL EMERGING MARKETS EQUITY INCOM</t>
  </si>
  <si>
    <t>ROYAL LONDON STERLING CREDIT Z ACC</t>
  </si>
  <si>
    <t>B5B71Q7</t>
  </si>
  <si>
    <t>B6Y7NF4</t>
  </si>
  <si>
    <t>B82VD29</t>
  </si>
  <si>
    <t>BKLJX95</t>
  </si>
  <si>
    <t>GB00B5B71Q71</t>
  </si>
  <si>
    <t>GB00B6Y7NF43</t>
  </si>
  <si>
    <t>GB00B82VD295</t>
  </si>
  <si>
    <t>GB00BKLJX955</t>
  </si>
  <si>
    <t>CLARION NAVIGATOR</t>
  </si>
  <si>
    <t>Japan</t>
  </si>
  <si>
    <t>SELL ALL</t>
  </si>
  <si>
    <t>GB00BRJL7V21</t>
  </si>
  <si>
    <t>ASI Asia Pacific Equity Enhanced Index B Acc in GB</t>
  </si>
  <si>
    <t>IE00B4WXJK79</t>
  </si>
  <si>
    <t>iShares UK Gilts 0-5yr UCITS ETF</t>
  </si>
  <si>
    <t>GB00BG08N399</t>
  </si>
  <si>
    <t>ASI Short Dated Global Corporate Bond Tracker B Acc</t>
  </si>
  <si>
    <t>GB00B58YKH53</t>
  </si>
  <si>
    <t>iShares Overseas Corporate Bond Index (UK) D Acc in GB</t>
  </si>
  <si>
    <t>IE00B1FZSD53</t>
  </si>
  <si>
    <t>iShares £ Index-Linked Gilts UCITS ETF</t>
  </si>
  <si>
    <t xml:space="preserve">IE00BRHZ0398 </t>
  </si>
  <si>
    <t>iShares MSCI Target UK Real Estate UCITS ETF GBP</t>
  </si>
  <si>
    <t>GB00B3X7QG63</t>
  </si>
  <si>
    <t>Vanguard FTSE U.K. All Share Index Unit Trust A Acc GBP in GB</t>
  </si>
  <si>
    <t>GB00BMMV5766</t>
  </si>
  <si>
    <t>Artemis US Smaller Companies I Acc GBP in GB</t>
  </si>
  <si>
    <t>GB00BJS8SH10</t>
  </si>
  <si>
    <t>Fidelity Index US P in GB</t>
  </si>
  <si>
    <t>IE00BLNMYC90</t>
  </si>
  <si>
    <t>Xtrackers S&amp;P 500 Equal Weight UCITS ETF</t>
  </si>
  <si>
    <t>GB00B5M5KY18</t>
  </si>
  <si>
    <t>JPM Emerging Markets Income C Acc in GB</t>
  </si>
  <si>
    <t>ETF/Broker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</si>
</sst>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(&quot;£&quot;#,##0.00\)"/>
    <numFmt numFmtId="165" formatCode="&quot;£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65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9">
    <dxf>
      <font>
        <b/>
      </font>
      <fill>
        <patternFill>
          <bgColor theme="6" tint="0.39994506668294322"/>
        </patternFill>
      </fill>
    </dxf>
    <dxf>
      <font>
        <b/>
      </font>
      <fill>
        <patternFill>
          <bgColor theme="6" tint="0.39994506668294322"/>
        </patternFill>
      </fill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3" sqref="I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253302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44749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253302</v>
      </c>
    </row>
    <row r="6" spans="1:9" x14ac:dyDescent="0.2">
      <c r="A6" t="s">
        <v>14</v>
      </c>
      <c r="B6" s="1">
        <f>PARM_Date</f>
        <v>44749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253302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44749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72"/>
  <sheetViews>
    <sheetView showGridLines="0" tabSelected="1" topLeftCell="A4" zoomScaleNormal="100" workbookViewId="0">
      <selection activeCell="N23" sqref="N23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hidden="1" customWidth="1"/>
    <col min="8" max="8" width="5.5703125" style="5" hidden="1" customWidth="1"/>
    <col min="9" max="9" width="5.140625" style="5" hidden="1" customWidth="1"/>
    <col min="10" max="10" width="12" style="6" customWidth="1"/>
    <col min="11" max="11" width="12.85546875" style="6" customWidth="1"/>
    <col min="12" max="12" width="15.5703125" style="21" customWidth="1"/>
    <col min="13" max="13" width="14" style="7" bestFit="1" customWidth="1"/>
    <col min="14" max="14" width="14" style="21" bestFit="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6" t="s">
        <v>25</v>
      </c>
      <c r="C1" s="62"/>
      <c r="D1" s="62"/>
      <c r="E1" s="62"/>
      <c r="F1" s="62"/>
      <c r="G1" s="62"/>
      <c r="H1" s="62"/>
      <c r="I1" s="62"/>
      <c r="J1" s="62"/>
      <c r="K1" s="51" t="s">
        <v>26</v>
      </c>
      <c r="L1" s="52">
        <f>COUNT(N:N)</f>
        <v>24</v>
      </c>
      <c r="M1" s="50"/>
    </row>
    <row r="2" spans="1:22" x14ac:dyDescent="0.2">
      <c r="B2" s="66" t="s">
        <v>136</v>
      </c>
      <c r="C2" s="62"/>
      <c r="D2" s="62"/>
      <c r="E2" s="62"/>
      <c r="F2" s="62"/>
      <c r="G2" s="62"/>
      <c r="H2" s="62"/>
      <c r="I2" s="62"/>
      <c r="J2" s="62"/>
      <c r="K2" s="49"/>
    </row>
    <row r="3" spans="1:22" x14ac:dyDescent="0.2">
      <c r="B3" s="67" t="str">
        <f>IF(IOControl!E3&lt;1,"",""&amp;TEXT(IOControl!E3,"dd mmm yyyy"))</f>
        <v>07 Jul 2022</v>
      </c>
      <c r="C3" s="62"/>
      <c r="D3" s="62"/>
      <c r="E3" s="62"/>
      <c r="F3" s="62"/>
      <c r="G3" s="62"/>
      <c r="H3" s="62"/>
      <c r="I3" s="62"/>
      <c r="J3" s="62"/>
    </row>
    <row r="4" spans="1:22" x14ac:dyDescent="0.2">
      <c r="B4" s="54">
        <f>IF(PARM_Account&lt;1,"",PARM_Account)</f>
        <v>253302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U6" s="15" t="s">
        <v>39</v>
      </c>
      <c r="V6" s="14" t="s">
        <v>40</v>
      </c>
    </row>
    <row r="7" spans="1:22" x14ac:dyDescent="0.2">
      <c r="A7" s="5" t="s">
        <v>44</v>
      </c>
      <c r="B7" s="14" t="s">
        <v>99</v>
      </c>
      <c r="C7" s="14" t="s">
        <v>115</v>
      </c>
      <c r="D7" s="48" t="str">
        <f t="shared" ref="D7:D26" si="0">IF(RIGHT(LEFT(C7,11),7)=B7,"OK","CHECK")</f>
        <v>OK</v>
      </c>
      <c r="E7" s="5" t="s">
        <v>85</v>
      </c>
      <c r="F7" s="8">
        <v>1934255.85</v>
      </c>
      <c r="G7" s="5">
        <v>1167746.8325</v>
      </c>
      <c r="H7" s="5" t="s">
        <v>91</v>
      </c>
      <c r="J7" s="6">
        <f t="shared" ref="J7:J26" si="1">F7/F$46</f>
        <v>5.025615397819802E-2</v>
      </c>
      <c r="K7" s="3">
        <v>0</v>
      </c>
      <c r="L7" s="21">
        <f t="shared" ref="L7:L26" si="2">ROUND((K7-J7)*F$46,-2)</f>
        <v>-1934300</v>
      </c>
      <c r="N7" s="44">
        <v>-975000</v>
      </c>
      <c r="O7" s="23">
        <f t="shared" ref="O7:O26" si="3">IF(OR(N7="",F7=""),J7,(F7+N7)/$F$46)</f>
        <v>2.4923543440278195E-2</v>
      </c>
      <c r="P7" s="15" t="s">
        <v>122</v>
      </c>
      <c r="Q7" s="5" t="s">
        <v>121</v>
      </c>
    </row>
    <row r="8" spans="1:22" s="55" customFormat="1" x14ac:dyDescent="0.2">
      <c r="A8" s="55" t="s">
        <v>74</v>
      </c>
      <c r="B8" s="14" t="s">
        <v>100</v>
      </c>
      <c r="C8" s="14" t="s">
        <v>116</v>
      </c>
      <c r="D8" s="48" t="str">
        <f t="shared" si="0"/>
        <v>OK</v>
      </c>
      <c r="E8" s="55" t="s">
        <v>86</v>
      </c>
      <c r="F8" s="8">
        <v>1916143.4</v>
      </c>
      <c r="G8" s="55">
        <v>1829253.8389999999</v>
      </c>
      <c r="H8" s="55" t="s">
        <v>91</v>
      </c>
      <c r="J8" s="6">
        <f t="shared" si="1"/>
        <v>4.9785553320005657E-2</v>
      </c>
      <c r="K8" s="3">
        <v>0</v>
      </c>
      <c r="L8" s="21">
        <f t="shared" si="2"/>
        <v>-1916100</v>
      </c>
      <c r="M8" s="7"/>
      <c r="N8" s="44">
        <v>-360000</v>
      </c>
      <c r="O8" s="23">
        <f t="shared" si="3"/>
        <v>4.0431974044466031E-2</v>
      </c>
      <c r="P8" s="15" t="s">
        <v>122</v>
      </c>
      <c r="Q8" s="55" t="s">
        <v>121</v>
      </c>
    </row>
    <row r="9" spans="1:22" s="55" customFormat="1" x14ac:dyDescent="0.2">
      <c r="A9" s="55" t="s">
        <v>74</v>
      </c>
      <c r="B9" s="14">
        <v>3387476</v>
      </c>
      <c r="C9" s="14" t="s">
        <v>107</v>
      </c>
      <c r="D9" s="48" t="str">
        <f t="shared" si="0"/>
        <v>CHECK</v>
      </c>
      <c r="E9" s="55" t="s">
        <v>77</v>
      </c>
      <c r="F9" s="8">
        <v>1903829.65</v>
      </c>
      <c r="G9" s="55">
        <v>195947.88500000001</v>
      </c>
      <c r="H9" s="55" t="s">
        <v>91</v>
      </c>
      <c r="J9" s="6">
        <f t="shared" si="1"/>
        <v>4.946561543999406E-2</v>
      </c>
      <c r="K9" s="3">
        <v>0</v>
      </c>
      <c r="L9" s="21">
        <f t="shared" si="2"/>
        <v>-1903800</v>
      </c>
      <c r="M9" s="7"/>
      <c r="N9" s="44">
        <v>-220000</v>
      </c>
      <c r="O9" s="23">
        <f t="shared" si="3"/>
        <v>4.3749539216053172E-2</v>
      </c>
      <c r="P9" s="15" t="s">
        <v>50</v>
      </c>
      <c r="Q9" s="55" t="s">
        <v>121</v>
      </c>
    </row>
    <row r="10" spans="1:22" s="55" customFormat="1" x14ac:dyDescent="0.2">
      <c r="A10" s="55" t="s">
        <v>74</v>
      </c>
      <c r="B10" s="14" t="s">
        <v>129</v>
      </c>
      <c r="C10" s="14" t="s">
        <v>133</v>
      </c>
      <c r="D10" s="48" t="str">
        <f t="shared" si="0"/>
        <v>OK</v>
      </c>
      <c r="E10" s="55" t="s">
        <v>125</v>
      </c>
      <c r="F10" s="8">
        <v>1787901.44</v>
      </c>
      <c r="G10" s="55">
        <v>111743.84</v>
      </c>
      <c r="H10" s="55" t="s">
        <v>91</v>
      </c>
      <c r="J10" s="6">
        <f t="shared" si="1"/>
        <v>4.6453549599698489E-2</v>
      </c>
      <c r="K10" s="3">
        <v>0</v>
      </c>
      <c r="L10" s="21">
        <f t="shared" si="2"/>
        <v>-1787900</v>
      </c>
      <c r="M10" s="7"/>
      <c r="N10" s="44">
        <v>-220000</v>
      </c>
      <c r="O10" s="23">
        <f t="shared" si="3"/>
        <v>4.0737473375757602E-2</v>
      </c>
      <c r="P10" s="15" t="s">
        <v>50</v>
      </c>
      <c r="Q10" s="55" t="s">
        <v>121</v>
      </c>
    </row>
    <row r="11" spans="1:22" s="55" customFormat="1" x14ac:dyDescent="0.2">
      <c r="A11" s="55" t="s">
        <v>74</v>
      </c>
      <c r="B11" s="14" t="s">
        <v>94</v>
      </c>
      <c r="C11" s="14" t="s">
        <v>110</v>
      </c>
      <c r="D11" s="48" t="str">
        <f t="shared" si="0"/>
        <v>OK</v>
      </c>
      <c r="E11" s="55" t="s">
        <v>80</v>
      </c>
      <c r="F11" s="8">
        <v>2036561.76</v>
      </c>
      <c r="G11" s="55">
        <v>1502997.6121</v>
      </c>
      <c r="H11" s="55" t="s">
        <v>91</v>
      </c>
      <c r="J11" s="6">
        <f t="shared" si="1"/>
        <v>5.2914282976923632E-2</v>
      </c>
      <c r="K11" s="3">
        <v>0</v>
      </c>
      <c r="L11" s="21">
        <f t="shared" si="2"/>
        <v>-2036600</v>
      </c>
      <c r="M11" s="7"/>
      <c r="N11" s="44">
        <v>-1250000</v>
      </c>
      <c r="O11" s="23">
        <f t="shared" si="3"/>
        <v>2.0436577159077707E-2</v>
      </c>
      <c r="P11" s="15" t="s">
        <v>43</v>
      </c>
      <c r="Q11" s="55" t="s">
        <v>121</v>
      </c>
    </row>
    <row r="12" spans="1:22" s="55" customFormat="1" x14ac:dyDescent="0.2">
      <c r="A12" s="55" t="s">
        <v>74</v>
      </c>
      <c r="B12" s="14" t="s">
        <v>101</v>
      </c>
      <c r="C12" s="14" t="s">
        <v>117</v>
      </c>
      <c r="D12" s="48" t="str">
        <f t="shared" si="0"/>
        <v>OK</v>
      </c>
      <c r="E12" s="55" t="s">
        <v>87</v>
      </c>
      <c r="F12" s="8">
        <v>2335788.41</v>
      </c>
      <c r="G12" s="55">
        <v>4136335.07</v>
      </c>
      <c r="H12" s="55" t="s">
        <v>91</v>
      </c>
      <c r="J12" s="6">
        <f t="shared" si="1"/>
        <v>6.0688839066171278E-2</v>
      </c>
      <c r="K12" s="3">
        <v>0.03</v>
      </c>
      <c r="L12" s="21">
        <f t="shared" si="2"/>
        <v>-1181200</v>
      </c>
      <c r="M12" s="7"/>
      <c r="N12" s="44">
        <v>-1181000</v>
      </c>
      <c r="O12" s="23">
        <f t="shared" si="3"/>
        <v>3.0003902609470442E-2</v>
      </c>
      <c r="P12" s="15" t="s">
        <v>43</v>
      </c>
      <c r="Q12" s="55" t="s">
        <v>121</v>
      </c>
    </row>
    <row r="13" spans="1:22" s="55" customFormat="1" x14ac:dyDescent="0.2">
      <c r="A13" s="55" t="s">
        <v>74</v>
      </c>
      <c r="B13" s="14" t="s">
        <v>131</v>
      </c>
      <c r="C13" s="14" t="s">
        <v>135</v>
      </c>
      <c r="D13" s="48" t="str">
        <f t="shared" si="0"/>
        <v>OK</v>
      </c>
      <c r="E13" s="55" t="s">
        <v>127</v>
      </c>
      <c r="F13" s="8">
        <v>1643024.85</v>
      </c>
      <c r="G13" s="55">
        <v>1719364.6351999999</v>
      </c>
      <c r="H13" s="55" t="s">
        <v>91</v>
      </c>
      <c r="J13" s="6">
        <f t="shared" si="1"/>
        <v>4.2689342183768346E-2</v>
      </c>
      <c r="K13" s="3">
        <v>0.03</v>
      </c>
      <c r="L13" s="21">
        <f t="shared" si="2"/>
        <v>-488400</v>
      </c>
      <c r="M13" s="7"/>
      <c r="N13" s="44">
        <v>-488000</v>
      </c>
      <c r="O13" s="23">
        <f t="shared" si="3"/>
        <v>3.0010045832481298E-2</v>
      </c>
      <c r="P13" s="15" t="s">
        <v>43</v>
      </c>
      <c r="Q13" s="55" t="s">
        <v>121</v>
      </c>
    </row>
    <row r="14" spans="1:22" s="55" customFormat="1" x14ac:dyDescent="0.2">
      <c r="A14" s="55" t="s">
        <v>74</v>
      </c>
      <c r="B14" s="14" t="s">
        <v>104</v>
      </c>
      <c r="C14" s="14" t="s">
        <v>120</v>
      </c>
      <c r="D14" s="48" t="str">
        <f t="shared" si="0"/>
        <v>OK</v>
      </c>
      <c r="E14" s="55" t="s">
        <v>90</v>
      </c>
      <c r="F14" s="8">
        <v>1718723.42</v>
      </c>
      <c r="G14" s="55">
        <v>112428.92200000001</v>
      </c>
      <c r="H14" s="55" t="s">
        <v>91</v>
      </c>
      <c r="J14" s="6">
        <f t="shared" si="1"/>
        <v>4.4656154893601641E-2</v>
      </c>
      <c r="K14" s="3">
        <v>0</v>
      </c>
      <c r="L14" s="21">
        <f t="shared" si="2"/>
        <v>-1718700</v>
      </c>
      <c r="M14" s="7"/>
      <c r="N14" s="44">
        <v>-812000</v>
      </c>
      <c r="O14" s="23">
        <f t="shared" si="3"/>
        <v>2.3558637194328925E-2</v>
      </c>
      <c r="P14" s="15" t="s">
        <v>51</v>
      </c>
      <c r="Q14" s="55" t="s">
        <v>121</v>
      </c>
    </row>
    <row r="15" spans="1:22" s="55" customFormat="1" x14ac:dyDescent="0.2">
      <c r="A15" s="55" t="s">
        <v>44</v>
      </c>
      <c r="B15" s="14" t="s">
        <v>93</v>
      </c>
      <c r="C15" s="14" t="s">
        <v>109</v>
      </c>
      <c r="D15" s="48" t="str">
        <f t="shared" si="0"/>
        <v>OK</v>
      </c>
      <c r="E15" s="55" t="s">
        <v>79</v>
      </c>
      <c r="F15" s="8">
        <v>1337643.23</v>
      </c>
      <c r="G15" s="55">
        <v>629271.87650000001</v>
      </c>
      <c r="H15" s="55" t="s">
        <v>91</v>
      </c>
      <c r="J15" s="6">
        <f t="shared" si="1"/>
        <v>3.4754866650538577E-2</v>
      </c>
      <c r="K15" s="3">
        <v>0</v>
      </c>
      <c r="L15" s="21">
        <f t="shared" si="2"/>
        <v>-1337600</v>
      </c>
      <c r="M15" s="7"/>
      <c r="N15" s="44">
        <v>-1337643.23</v>
      </c>
      <c r="O15" s="23">
        <f t="shared" si="3"/>
        <v>0</v>
      </c>
      <c r="P15" s="15" t="s">
        <v>41</v>
      </c>
      <c r="Q15" s="15" t="s">
        <v>138</v>
      </c>
    </row>
    <row r="16" spans="1:22" s="55" customFormat="1" x14ac:dyDescent="0.2">
      <c r="A16" s="55" t="s">
        <v>74</v>
      </c>
      <c r="B16" s="14" t="s">
        <v>130</v>
      </c>
      <c r="C16" s="14" t="s">
        <v>134</v>
      </c>
      <c r="D16" s="48" t="str">
        <f t="shared" si="0"/>
        <v>OK</v>
      </c>
      <c r="E16" s="55" t="s">
        <v>126</v>
      </c>
      <c r="F16" s="8">
        <v>1380418.78</v>
      </c>
      <c r="G16" s="55">
        <v>1481294.9709999999</v>
      </c>
      <c r="H16" s="55" t="s">
        <v>91</v>
      </c>
      <c r="J16" s="6">
        <f t="shared" si="1"/>
        <v>3.5866268033815825E-2</v>
      </c>
      <c r="K16" s="3">
        <v>0.02</v>
      </c>
      <c r="L16" s="21">
        <f t="shared" si="2"/>
        <v>-610700</v>
      </c>
      <c r="M16" s="7"/>
      <c r="N16" s="44">
        <v>-610000</v>
      </c>
      <c r="O16" s="23">
        <f t="shared" si="3"/>
        <v>2.0017147594707012E-2</v>
      </c>
      <c r="P16" s="15" t="s">
        <v>41</v>
      </c>
      <c r="Q16" s="55" t="s">
        <v>121</v>
      </c>
    </row>
    <row r="17" spans="1:18" s="55" customFormat="1" x14ac:dyDescent="0.2">
      <c r="A17" s="55" t="s">
        <v>44</v>
      </c>
      <c r="B17" s="14" t="s">
        <v>103</v>
      </c>
      <c r="C17" s="14" t="s">
        <v>119</v>
      </c>
      <c r="D17" s="48" t="str">
        <f t="shared" si="0"/>
        <v>OK</v>
      </c>
      <c r="E17" s="55" t="s">
        <v>89</v>
      </c>
      <c r="F17" s="8">
        <v>1501959.96</v>
      </c>
      <c r="G17" s="55">
        <v>720433.59600000002</v>
      </c>
      <c r="H17" s="55" t="s">
        <v>91</v>
      </c>
      <c r="J17" s="6">
        <f t="shared" si="1"/>
        <v>3.9024170984850906E-2</v>
      </c>
      <c r="K17" s="3">
        <v>0.04</v>
      </c>
      <c r="L17" s="21">
        <f t="shared" si="2"/>
        <v>37600</v>
      </c>
      <c r="M17" s="7"/>
      <c r="N17" s="44"/>
      <c r="O17" s="23">
        <f t="shared" si="3"/>
        <v>3.9024170984850906E-2</v>
      </c>
      <c r="P17" s="15" t="s">
        <v>123</v>
      </c>
      <c r="Q17" s="55" t="s">
        <v>121</v>
      </c>
    </row>
    <row r="18" spans="1:18" s="55" customFormat="1" x14ac:dyDescent="0.2">
      <c r="A18" s="55" t="s">
        <v>74</v>
      </c>
      <c r="B18" s="14" t="s">
        <v>95</v>
      </c>
      <c r="C18" s="14" t="s">
        <v>111</v>
      </c>
      <c r="D18" s="48" t="str">
        <f t="shared" si="0"/>
        <v>OK</v>
      </c>
      <c r="E18" s="55" t="s">
        <v>81</v>
      </c>
      <c r="F18" s="8">
        <v>2010635.29</v>
      </c>
      <c r="G18" s="55">
        <v>1254138.7790000001</v>
      </c>
      <c r="H18" s="55" t="s">
        <v>91</v>
      </c>
      <c r="J18" s="6">
        <f t="shared" si="1"/>
        <v>5.2240657164479468E-2</v>
      </c>
      <c r="K18" s="3">
        <v>0</v>
      </c>
      <c r="L18" s="21">
        <f t="shared" si="2"/>
        <v>-2010600</v>
      </c>
      <c r="M18" s="7"/>
      <c r="N18" s="44">
        <v>-1000000</v>
      </c>
      <c r="O18" s="23">
        <f t="shared" si="3"/>
        <v>2.6258492510202725E-2</v>
      </c>
      <c r="P18" s="15" t="s">
        <v>42</v>
      </c>
      <c r="Q18" s="55" t="s">
        <v>121</v>
      </c>
    </row>
    <row r="19" spans="1:18" s="55" customFormat="1" x14ac:dyDescent="0.2">
      <c r="A19" s="55" t="s">
        <v>74</v>
      </c>
      <c r="B19" s="14" t="s">
        <v>98</v>
      </c>
      <c r="C19" s="14" t="s">
        <v>114</v>
      </c>
      <c r="D19" s="48" t="str">
        <f t="shared" si="0"/>
        <v>OK</v>
      </c>
      <c r="E19" s="55" t="s">
        <v>84</v>
      </c>
      <c r="F19" s="8">
        <v>1970405.18</v>
      </c>
      <c r="G19" s="55">
        <v>1278819.5589999999</v>
      </c>
      <c r="H19" s="55" t="s">
        <v>91</v>
      </c>
      <c r="J19" s="6">
        <f t="shared" si="1"/>
        <v>5.1195391822399801E-2</v>
      </c>
      <c r="K19" s="3">
        <v>0</v>
      </c>
      <c r="L19" s="21">
        <f t="shared" si="2"/>
        <v>-1970400</v>
      </c>
      <c r="M19" s="7"/>
      <c r="N19" s="44">
        <v>-1000000</v>
      </c>
      <c r="O19" s="23">
        <f t="shared" si="3"/>
        <v>2.5213227168123058E-2</v>
      </c>
      <c r="P19" s="15" t="s">
        <v>42</v>
      </c>
      <c r="Q19" s="55" t="s">
        <v>121</v>
      </c>
    </row>
    <row r="20" spans="1:18" s="55" customFormat="1" x14ac:dyDescent="0.2">
      <c r="A20" s="55" t="s">
        <v>74</v>
      </c>
      <c r="B20" s="14">
        <v>601113</v>
      </c>
      <c r="C20" s="14" t="s">
        <v>106</v>
      </c>
      <c r="D20" s="48" t="str">
        <f t="shared" si="0"/>
        <v>CHECK</v>
      </c>
      <c r="E20" s="55" t="s">
        <v>76</v>
      </c>
      <c r="F20" s="8">
        <v>2301984.71</v>
      </c>
      <c r="G20" s="55">
        <v>132679.234</v>
      </c>
      <c r="H20" s="55" t="s">
        <v>91</v>
      </c>
      <c r="J20" s="6">
        <f t="shared" si="1"/>
        <v>5.9810545766847495E-2</v>
      </c>
      <c r="K20" s="3">
        <v>0.06</v>
      </c>
      <c r="L20" s="21">
        <f t="shared" si="2"/>
        <v>7300</v>
      </c>
      <c r="M20" s="7"/>
      <c r="N20" s="44"/>
      <c r="O20" s="23">
        <f t="shared" si="3"/>
        <v>5.9810545766847495E-2</v>
      </c>
      <c r="P20" s="15" t="s">
        <v>137</v>
      </c>
      <c r="Q20" s="55" t="s">
        <v>121</v>
      </c>
    </row>
    <row r="21" spans="1:18" s="55" customFormat="1" x14ac:dyDescent="0.2">
      <c r="A21" s="55" t="s">
        <v>44</v>
      </c>
      <c r="B21" s="14" t="s">
        <v>92</v>
      </c>
      <c r="C21" s="14" t="s">
        <v>108</v>
      </c>
      <c r="D21" s="48" t="str">
        <f t="shared" si="0"/>
        <v>OK</v>
      </c>
      <c r="E21" s="55" t="s">
        <v>78</v>
      </c>
      <c r="F21" s="8">
        <v>1839784.31</v>
      </c>
      <c r="G21" s="55">
        <v>355864.58399999997</v>
      </c>
      <c r="H21" s="55" t="s">
        <v>91</v>
      </c>
      <c r="J21" s="6">
        <f t="shared" si="1"/>
        <v>4.7801578870774929E-2</v>
      </c>
      <c r="K21" s="3">
        <v>0</v>
      </c>
      <c r="L21" s="21">
        <f t="shared" si="2"/>
        <v>-1839800</v>
      </c>
      <c r="M21" s="7"/>
      <c r="N21" s="44">
        <v>-1839784.31</v>
      </c>
      <c r="O21" s="23">
        <f t="shared" si="3"/>
        <v>0</v>
      </c>
      <c r="P21" s="15" t="s">
        <v>46</v>
      </c>
      <c r="Q21" s="15" t="s">
        <v>138</v>
      </c>
    </row>
    <row r="22" spans="1:18" s="55" customFormat="1" x14ac:dyDescent="0.2">
      <c r="A22" s="55" t="s">
        <v>44</v>
      </c>
      <c r="B22" s="14">
        <v>580353</v>
      </c>
      <c r="C22" s="14" t="s">
        <v>105</v>
      </c>
      <c r="D22" s="48" t="str">
        <f t="shared" si="0"/>
        <v>CHECK</v>
      </c>
      <c r="E22" s="55" t="s">
        <v>75</v>
      </c>
      <c r="F22" s="8">
        <v>1950862.62</v>
      </c>
      <c r="G22" s="55">
        <v>23394.330999999998</v>
      </c>
      <c r="H22" s="55" t="s">
        <v>91</v>
      </c>
      <c r="J22" s="6">
        <f t="shared" si="1"/>
        <v>5.0687633810713721E-2</v>
      </c>
      <c r="K22" s="3">
        <v>0</v>
      </c>
      <c r="L22" s="21">
        <f t="shared" si="2"/>
        <v>-1950900</v>
      </c>
      <c r="M22" s="7"/>
      <c r="N22" s="44">
        <v>-875000</v>
      </c>
      <c r="O22" s="23">
        <f t="shared" si="3"/>
        <v>2.7953239738221572E-2</v>
      </c>
      <c r="P22" s="15" t="s">
        <v>46</v>
      </c>
      <c r="Q22" s="15" t="s">
        <v>121</v>
      </c>
    </row>
    <row r="23" spans="1:18" s="55" customFormat="1" x14ac:dyDescent="0.2">
      <c r="A23" s="55" t="s">
        <v>74</v>
      </c>
      <c r="B23" s="14" t="s">
        <v>96</v>
      </c>
      <c r="C23" s="14" t="s">
        <v>112</v>
      </c>
      <c r="D23" s="48" t="str">
        <f t="shared" si="0"/>
        <v>OK</v>
      </c>
      <c r="E23" s="55" t="s">
        <v>82</v>
      </c>
      <c r="F23" s="8">
        <v>2325058.1800000002</v>
      </c>
      <c r="G23" s="55">
        <v>991919.01899999997</v>
      </c>
      <c r="H23" s="55" t="s">
        <v>91</v>
      </c>
      <c r="J23" s="6">
        <f t="shared" si="1"/>
        <v>6.0410044463533014E-2</v>
      </c>
      <c r="K23" s="3">
        <v>5.7500000000000002E-2</v>
      </c>
      <c r="L23" s="21">
        <f t="shared" si="2"/>
        <v>-112000</v>
      </c>
      <c r="M23" s="7"/>
      <c r="N23" s="44"/>
      <c r="O23" s="23">
        <f t="shared" si="3"/>
        <v>6.0410044463533014E-2</v>
      </c>
      <c r="P23" s="15" t="s">
        <v>46</v>
      </c>
      <c r="Q23" s="55" t="s">
        <v>121</v>
      </c>
    </row>
    <row r="24" spans="1:18" s="55" customFormat="1" x14ac:dyDescent="0.2">
      <c r="A24" s="55" t="s">
        <v>74</v>
      </c>
      <c r="B24" s="14" t="s">
        <v>97</v>
      </c>
      <c r="C24" s="14" t="s">
        <v>113</v>
      </c>
      <c r="D24" s="48" t="str">
        <f t="shared" si="0"/>
        <v>OK</v>
      </c>
      <c r="E24" s="55" t="s">
        <v>83</v>
      </c>
      <c r="F24" s="8">
        <v>1874241.7</v>
      </c>
      <c r="G24" s="55">
        <v>254863.63699999999</v>
      </c>
      <c r="H24" s="55" t="s">
        <v>91</v>
      </c>
      <c r="J24" s="6">
        <f t="shared" si="1"/>
        <v>4.8696856451311554E-2</v>
      </c>
      <c r="K24" s="3">
        <v>4.5999999999999999E-2</v>
      </c>
      <c r="L24" s="21">
        <f t="shared" si="2"/>
        <v>-103800</v>
      </c>
      <c r="M24" s="7"/>
      <c r="N24" s="44"/>
      <c r="O24" s="23">
        <f t="shared" si="3"/>
        <v>4.8696856451311554E-2</v>
      </c>
      <c r="P24" s="15" t="s">
        <v>46</v>
      </c>
      <c r="Q24" s="55" t="s">
        <v>121</v>
      </c>
    </row>
    <row r="25" spans="1:18" s="55" customFormat="1" x14ac:dyDescent="0.2">
      <c r="A25" s="55" t="s">
        <v>74</v>
      </c>
      <c r="B25" s="14" t="s">
        <v>102</v>
      </c>
      <c r="C25" s="14" t="s">
        <v>118</v>
      </c>
      <c r="D25" s="48" t="str">
        <f t="shared" si="0"/>
        <v>OK</v>
      </c>
      <c r="E25" s="55" t="s">
        <v>88</v>
      </c>
      <c r="F25" s="8">
        <v>2224240.54</v>
      </c>
      <c r="G25" s="55">
        <v>2021118.16</v>
      </c>
      <c r="H25" s="55" t="s">
        <v>91</v>
      </c>
      <c r="J25" s="6">
        <f t="shared" si="1"/>
        <v>5.7790583940997418E-2</v>
      </c>
      <c r="K25" s="3">
        <v>5.7500000000000002E-2</v>
      </c>
      <c r="L25" s="21">
        <f t="shared" si="2"/>
        <v>-11200</v>
      </c>
      <c r="M25" s="7"/>
      <c r="N25" s="44"/>
      <c r="O25" s="23">
        <f t="shared" si="3"/>
        <v>5.7790583940997418E-2</v>
      </c>
      <c r="P25" s="15" t="s">
        <v>46</v>
      </c>
      <c r="Q25" s="55" t="s">
        <v>121</v>
      </c>
    </row>
    <row r="26" spans="1:18" s="55" customFormat="1" x14ac:dyDescent="0.2">
      <c r="A26" s="55" t="s">
        <v>74</v>
      </c>
      <c r="B26" s="14" t="s">
        <v>128</v>
      </c>
      <c r="C26" s="14" t="s">
        <v>132</v>
      </c>
      <c r="D26" s="48" t="str">
        <f t="shared" si="0"/>
        <v>OK</v>
      </c>
      <c r="E26" s="55" t="s">
        <v>124</v>
      </c>
      <c r="F26" s="8">
        <v>1892651.99</v>
      </c>
      <c r="G26" s="55">
        <v>2685.7865000000002</v>
      </c>
      <c r="H26" s="55" t="s">
        <v>91</v>
      </c>
      <c r="J26" s="6">
        <f t="shared" si="1"/>
        <v>4.9175195637424535E-2</v>
      </c>
      <c r="K26" s="3">
        <v>0</v>
      </c>
      <c r="L26" s="21">
        <f t="shared" si="2"/>
        <v>-1892700</v>
      </c>
      <c r="M26" s="7"/>
      <c r="N26" s="44">
        <v>-1892651.99</v>
      </c>
      <c r="O26" s="23">
        <f t="shared" si="3"/>
        <v>0</v>
      </c>
      <c r="P26" s="15" t="s">
        <v>49</v>
      </c>
      <c r="R26" s="15"/>
    </row>
    <row r="27" spans="1:18" s="56" customFormat="1" x14ac:dyDescent="0.2">
      <c r="B27" s="14"/>
      <c r="C27" s="14"/>
      <c r="D27" s="48"/>
      <c r="F27" s="8"/>
      <c r="J27" s="6"/>
      <c r="K27" s="3"/>
      <c r="L27" s="21"/>
      <c r="M27" s="7"/>
      <c r="N27" s="44"/>
      <c r="O27" s="23"/>
      <c r="P27" s="15"/>
      <c r="R27" s="15"/>
    </row>
    <row r="28" spans="1:18" s="56" customFormat="1" x14ac:dyDescent="0.2">
      <c r="B28" s="14"/>
      <c r="C28" s="14" t="s">
        <v>139</v>
      </c>
      <c r="E28" s="14" t="s">
        <v>140</v>
      </c>
      <c r="F28" s="8">
        <v>0</v>
      </c>
      <c r="J28" s="6">
        <v>0</v>
      </c>
      <c r="K28" s="3">
        <v>0.04</v>
      </c>
      <c r="L28" s="21">
        <f t="shared" ref="L28:L38" si="4">ROUND((K28-J28)*F$46,-2)</f>
        <v>1539500</v>
      </c>
      <c r="M28" s="7"/>
      <c r="N28" s="44">
        <v>217000</v>
      </c>
      <c r="O28" s="23">
        <f t="shared" ref="O28:O38" si="5">IF(OR(N28="",F28=""),J28,(F28+N28)/$F$46)</f>
        <v>5.6381297299780532E-3</v>
      </c>
      <c r="P28" s="15" t="s">
        <v>50</v>
      </c>
      <c r="Q28" s="56" t="s">
        <v>121</v>
      </c>
      <c r="R28" s="15"/>
    </row>
    <row r="29" spans="1:18" s="56" customFormat="1" x14ac:dyDescent="0.2">
      <c r="B29" s="14"/>
      <c r="C29" s="14" t="s">
        <v>141</v>
      </c>
      <c r="D29" s="48"/>
      <c r="E29" s="56" t="s">
        <v>142</v>
      </c>
      <c r="F29" s="8">
        <v>0</v>
      </c>
      <c r="J29" s="6">
        <v>0</v>
      </c>
      <c r="K29" s="3">
        <v>0.03</v>
      </c>
      <c r="L29" s="21">
        <f t="shared" si="4"/>
        <v>1154600</v>
      </c>
      <c r="M29" s="7"/>
      <c r="N29" s="44"/>
      <c r="O29" s="23">
        <f t="shared" si="5"/>
        <v>0</v>
      </c>
      <c r="P29" s="15" t="s">
        <v>43</v>
      </c>
      <c r="Q29" s="56" t="s">
        <v>161</v>
      </c>
      <c r="R29" s="15"/>
    </row>
    <row r="30" spans="1:18" s="56" customFormat="1" x14ac:dyDescent="0.2">
      <c r="B30" s="14"/>
      <c r="C30" s="14" t="s">
        <v>143</v>
      </c>
      <c r="E30" s="14" t="s">
        <v>144</v>
      </c>
      <c r="F30" s="8">
        <v>0</v>
      </c>
      <c r="J30" s="6">
        <v>0</v>
      </c>
      <c r="K30" s="3">
        <v>0.02</v>
      </c>
      <c r="L30" s="21">
        <f t="shared" si="4"/>
        <v>769800</v>
      </c>
      <c r="M30" s="7"/>
      <c r="N30" s="44">
        <v>260000</v>
      </c>
      <c r="O30" s="23">
        <f t="shared" si="5"/>
        <v>6.7553628101119532E-3</v>
      </c>
      <c r="P30" s="15" t="s">
        <v>43</v>
      </c>
      <c r="Q30" s="56" t="s">
        <v>121</v>
      </c>
      <c r="R30" s="15"/>
    </row>
    <row r="31" spans="1:18" s="56" customFormat="1" x14ac:dyDescent="0.2">
      <c r="B31" s="14"/>
      <c r="C31" s="14" t="s">
        <v>145</v>
      </c>
      <c r="E31" s="14" t="s">
        <v>146</v>
      </c>
      <c r="F31" s="8">
        <v>0</v>
      </c>
      <c r="J31" s="6">
        <v>0</v>
      </c>
      <c r="K31" s="3">
        <v>0.02</v>
      </c>
      <c r="L31" s="21">
        <f t="shared" si="4"/>
        <v>769800</v>
      </c>
      <c r="M31" s="7"/>
      <c r="N31" s="44"/>
      <c r="O31" s="23">
        <f t="shared" si="5"/>
        <v>0</v>
      </c>
      <c r="P31" s="15" t="s">
        <v>43</v>
      </c>
      <c r="Q31" s="58" t="s">
        <v>161</v>
      </c>
      <c r="R31" s="15"/>
    </row>
    <row r="32" spans="1:18" s="56" customFormat="1" x14ac:dyDescent="0.2">
      <c r="B32" s="14"/>
      <c r="C32" s="14" t="s">
        <v>147</v>
      </c>
      <c r="E32" s="14" t="s">
        <v>148</v>
      </c>
      <c r="F32" s="8">
        <v>0</v>
      </c>
      <c r="J32" s="6">
        <v>0</v>
      </c>
      <c r="K32" s="3">
        <v>0.04</v>
      </c>
      <c r="L32" s="21">
        <f t="shared" si="4"/>
        <v>1539500</v>
      </c>
      <c r="M32" s="7"/>
      <c r="N32" s="44">
        <v>1540000</v>
      </c>
      <c r="O32" s="23">
        <f t="shared" si="5"/>
        <v>4.0012533567586182E-2</v>
      </c>
      <c r="P32" s="15" t="s">
        <v>43</v>
      </c>
      <c r="Q32" s="58" t="s">
        <v>161</v>
      </c>
      <c r="R32" s="15"/>
    </row>
    <row r="33" spans="1:18" s="56" customFormat="1" x14ac:dyDescent="0.2">
      <c r="B33" s="14"/>
      <c r="C33" s="14" t="s">
        <v>149</v>
      </c>
      <c r="E33" s="14" t="s">
        <v>150</v>
      </c>
      <c r="F33" s="8">
        <v>0</v>
      </c>
      <c r="J33" s="6">
        <v>0</v>
      </c>
      <c r="K33" s="3">
        <v>0.05</v>
      </c>
      <c r="L33" s="21">
        <f t="shared" si="4"/>
        <v>1924400</v>
      </c>
      <c r="M33" s="7"/>
      <c r="N33" s="44">
        <v>337000</v>
      </c>
      <c r="O33" s="23">
        <f t="shared" si="5"/>
        <v>8.7559894884912618E-3</v>
      </c>
      <c r="P33" s="15" t="s">
        <v>48</v>
      </c>
      <c r="Q33" s="58" t="s">
        <v>161</v>
      </c>
      <c r="R33" s="15"/>
    </row>
    <row r="34" spans="1:18" s="56" customFormat="1" x14ac:dyDescent="0.2">
      <c r="B34" s="14"/>
      <c r="C34" s="14" t="s">
        <v>151</v>
      </c>
      <c r="E34" s="56" t="s">
        <v>152</v>
      </c>
      <c r="F34" s="8">
        <v>0</v>
      </c>
      <c r="J34" s="6">
        <v>0</v>
      </c>
      <c r="K34" s="3">
        <v>6.9000000000000006E-2</v>
      </c>
      <c r="L34" s="21">
        <f t="shared" si="4"/>
        <v>2655700</v>
      </c>
      <c r="M34" s="7"/>
      <c r="N34" s="44">
        <v>2656000</v>
      </c>
      <c r="O34" s="23">
        <f t="shared" si="5"/>
        <v>6.9008629321759024E-2</v>
      </c>
      <c r="P34" s="15" t="s">
        <v>46</v>
      </c>
      <c r="Q34" s="56" t="s">
        <v>121</v>
      </c>
      <c r="R34" s="15"/>
    </row>
    <row r="35" spans="1:18" s="56" customFormat="1" x14ac:dyDescent="0.2">
      <c r="B35" s="14"/>
      <c r="C35" s="14" t="s">
        <v>153</v>
      </c>
      <c r="E35" s="56" t="s">
        <v>154</v>
      </c>
      <c r="F35" s="8">
        <v>0</v>
      </c>
      <c r="J35" s="6">
        <v>0</v>
      </c>
      <c r="K35" s="3">
        <v>5.5E-2</v>
      </c>
      <c r="L35" s="21">
        <f t="shared" si="4"/>
        <v>2116800</v>
      </c>
      <c r="M35" s="7"/>
      <c r="N35" s="44">
        <v>2116000</v>
      </c>
      <c r="O35" s="23">
        <f t="shared" si="5"/>
        <v>5.4978260408449588E-2</v>
      </c>
      <c r="P35" s="15" t="s">
        <v>49</v>
      </c>
      <c r="Q35" s="56" t="s">
        <v>121</v>
      </c>
      <c r="R35" s="15"/>
    </row>
    <row r="36" spans="1:18" s="56" customFormat="1" x14ac:dyDescent="0.2">
      <c r="B36" s="14"/>
      <c r="C36" s="14" t="s">
        <v>155</v>
      </c>
      <c r="E36" s="56" t="s">
        <v>156</v>
      </c>
      <c r="F36" s="8">
        <v>0</v>
      </c>
      <c r="J36" s="6">
        <v>0</v>
      </c>
      <c r="K36" s="3">
        <v>0.11</v>
      </c>
      <c r="L36" s="21">
        <f t="shared" si="4"/>
        <v>4233700</v>
      </c>
      <c r="M36" s="7"/>
      <c r="N36" s="44">
        <v>4234000</v>
      </c>
      <c r="O36" s="23">
        <f t="shared" si="5"/>
        <v>0.11000848514620773</v>
      </c>
      <c r="P36" s="15" t="s">
        <v>49</v>
      </c>
      <c r="Q36" s="56" t="s">
        <v>121</v>
      </c>
      <c r="R36" s="15"/>
    </row>
    <row r="37" spans="1:18" s="56" customFormat="1" x14ac:dyDescent="0.2">
      <c r="B37" s="14"/>
      <c r="C37" s="14" t="s">
        <v>157</v>
      </c>
      <c r="E37" s="56" t="s">
        <v>158</v>
      </c>
      <c r="F37" s="8">
        <v>0</v>
      </c>
      <c r="J37" s="6">
        <v>0</v>
      </c>
      <c r="K37" s="3">
        <v>5.5E-2</v>
      </c>
      <c r="L37" s="21">
        <f t="shared" si="4"/>
        <v>2116800</v>
      </c>
      <c r="M37" s="7"/>
      <c r="N37" s="44">
        <v>1000000</v>
      </c>
      <c r="O37" s="23">
        <f t="shared" si="5"/>
        <v>2.5982164654276742E-2</v>
      </c>
      <c r="P37" s="15" t="s">
        <v>49</v>
      </c>
      <c r="Q37" s="58" t="s">
        <v>161</v>
      </c>
      <c r="R37" s="15"/>
    </row>
    <row r="38" spans="1:18" s="56" customFormat="1" x14ac:dyDescent="0.2">
      <c r="B38" s="14"/>
      <c r="C38" s="14" t="s">
        <v>159</v>
      </c>
      <c r="D38" s="48"/>
      <c r="E38" s="56" t="s">
        <v>160</v>
      </c>
      <c r="F38" s="8">
        <v>0</v>
      </c>
      <c r="J38" s="6">
        <v>0</v>
      </c>
      <c r="K38" s="3">
        <v>0.02</v>
      </c>
      <c r="L38" s="21">
        <f t="shared" si="4"/>
        <v>769800</v>
      </c>
      <c r="M38" s="7"/>
      <c r="N38" s="44">
        <v>770000</v>
      </c>
      <c r="O38" s="23">
        <f t="shared" si="5"/>
        <v>2.0006266783793091E-2</v>
      </c>
      <c r="P38" s="15" t="s">
        <v>41</v>
      </c>
      <c r="Q38" s="56" t="s">
        <v>121</v>
      </c>
      <c r="R38" s="15"/>
    </row>
    <row r="39" spans="1:18" s="56" customFormat="1" x14ac:dyDescent="0.2">
      <c r="B39" s="14"/>
      <c r="C39" s="14"/>
      <c r="D39" s="48"/>
      <c r="F39" s="8"/>
      <c r="J39" s="6"/>
      <c r="K39" s="3"/>
      <c r="L39" s="21"/>
      <c r="M39" s="7"/>
      <c r="N39" s="44"/>
      <c r="O39" s="23"/>
      <c r="P39" s="15"/>
      <c r="R39" s="15"/>
    </row>
    <row r="40" spans="1:18" s="56" customFormat="1" x14ac:dyDescent="0.2">
      <c r="B40" s="14"/>
      <c r="C40" s="14"/>
      <c r="D40" s="48"/>
      <c r="F40" s="8"/>
      <c r="J40" s="6"/>
      <c r="K40" s="3"/>
      <c r="L40" s="21"/>
      <c r="M40" s="7"/>
      <c r="N40" s="44"/>
      <c r="O40" s="23"/>
      <c r="P40" s="15"/>
      <c r="R40" s="15"/>
    </row>
    <row r="41" spans="1:18" x14ac:dyDescent="0.2">
      <c r="E41" s="16"/>
      <c r="K41" s="4"/>
      <c r="L41" s="24"/>
      <c r="M41" s="17"/>
      <c r="N41" s="24"/>
      <c r="O41" s="15"/>
    </row>
    <row r="42" spans="1:18" ht="13.5" customHeight="1" thickBot="1" x14ac:dyDescent="0.25">
      <c r="E42" s="16"/>
      <c r="K42" s="4"/>
      <c r="L42" s="24"/>
      <c r="M42" s="17"/>
      <c r="N42" s="24"/>
      <c r="O42" s="15"/>
    </row>
    <row r="43" spans="1:18" ht="13.5" customHeight="1" thickBot="1" x14ac:dyDescent="0.25">
      <c r="B43" s="36" t="s">
        <v>52</v>
      </c>
      <c r="C43" s="47"/>
      <c r="D43" s="47"/>
      <c r="E43" s="37"/>
      <c r="F43" s="18">
        <v>0</v>
      </c>
      <c r="J43" s="38" t="s">
        <v>53</v>
      </c>
      <c r="K43" s="59" t="s">
        <v>35</v>
      </c>
      <c r="L43" s="60"/>
      <c r="M43" s="39" t="s">
        <v>54</v>
      </c>
    </row>
    <row r="44" spans="1:18" x14ac:dyDescent="0.2">
      <c r="A44" s="5" t="s">
        <v>44</v>
      </c>
      <c r="B44" s="63" t="s">
        <v>55</v>
      </c>
      <c r="C44" s="64"/>
      <c r="D44" s="64"/>
      <c r="E44" s="64"/>
      <c r="F44" s="35">
        <f>VALU_JC+VALU_XA-VALU_BV+$F$43</f>
        <v>601824.94999999553</v>
      </c>
      <c r="G44" s="33">
        <v>362354.3</v>
      </c>
      <c r="H44" s="34">
        <v>38487940.219999999</v>
      </c>
      <c r="I44" s="34">
        <v>38248469.57</v>
      </c>
      <c r="J44" s="40">
        <f>F44/F46</f>
        <v>1.5636714943951753E-2</v>
      </c>
      <c r="K44" s="41">
        <v>0.1</v>
      </c>
      <c r="L44" s="42">
        <f>F44-SUM(L7:L42)</f>
        <v>5773224.9499999955</v>
      </c>
      <c r="M44" s="43">
        <f>F44-SUM(N7:N43)</f>
        <v>1532904.4799999967</v>
      </c>
      <c r="O44" s="23">
        <f>$M$44/$F$46</f>
        <v>3.9828176598638382E-2</v>
      </c>
      <c r="P44" s="5" t="s">
        <v>56</v>
      </c>
    </row>
    <row r="45" spans="1:18" x14ac:dyDescent="0.2">
      <c r="F45" s="27"/>
      <c r="G45" s="27"/>
      <c r="J45" s="23"/>
    </row>
    <row r="46" spans="1:18" x14ac:dyDescent="0.2">
      <c r="B46" s="65" t="s">
        <v>57</v>
      </c>
      <c r="C46" s="62"/>
      <c r="D46" s="62"/>
      <c r="E46" s="62"/>
      <c r="F46" s="28">
        <f>SUM(SUMIF(A:A,{"S","MF"},F:F))</f>
        <v>38487940.219999991</v>
      </c>
      <c r="I46" s="29">
        <f>MAX(J7:J44)</f>
        <v>6.0688839066171278E-2</v>
      </c>
      <c r="J46" s="23"/>
      <c r="K46" s="6">
        <f>SUM(K7:K45)</f>
        <v>0.95</v>
      </c>
    </row>
    <row r="48" spans="1:18" x14ac:dyDescent="0.2">
      <c r="B48" s="61" t="str">
        <f>IF(I46&gt;0.2,"One or more of the holdings is currently over 20% of the portfolio value, please record the breach and report it to a fund manager",IF(I46&gt;0.15,"One or more of the holdings is over 15% of the portfolio value, please inform a fund manager",""))</f>
        <v/>
      </c>
      <c r="C48" s="62"/>
      <c r="D48" s="62"/>
      <c r="E48" s="62"/>
      <c r="F48" s="62"/>
      <c r="G48" s="62"/>
      <c r="H48" s="62"/>
      <c r="I48" s="62"/>
      <c r="J48" s="62"/>
      <c r="K48" s="11" t="s">
        <v>58</v>
      </c>
      <c r="L48" s="25">
        <f>SUM(L7:L41)</f>
        <v>-5171400</v>
      </c>
      <c r="M48" s="25">
        <f>SUM(N7:N41)</f>
        <v>-931079.53000000119</v>
      </c>
      <c r="N48" s="25"/>
    </row>
    <row r="49" spans="2:14" x14ac:dyDescent="0.2">
      <c r="B49" s="62"/>
      <c r="C49" s="62"/>
      <c r="D49" s="62"/>
      <c r="E49" s="62"/>
      <c r="F49" s="62"/>
      <c r="G49" s="62"/>
      <c r="H49" s="62"/>
      <c r="I49" s="62"/>
      <c r="J49" s="62"/>
      <c r="K49" s="6" t="s">
        <v>59</v>
      </c>
      <c r="L49" s="23">
        <f>($F$44-L48)/$F$46</f>
        <v>0.1500008812370785</v>
      </c>
      <c r="M49" s="6">
        <f>($F$44-M48)/$F$46</f>
        <v>3.9828176598638382E-2</v>
      </c>
      <c r="N49" s="23"/>
    </row>
    <row r="50" spans="2:14" x14ac:dyDescent="0.2">
      <c r="B50" s="62"/>
      <c r="C50" s="62"/>
      <c r="D50" s="62"/>
      <c r="E50" s="62"/>
      <c r="F50" s="62"/>
      <c r="G50" s="62"/>
      <c r="H50" s="62"/>
      <c r="I50" s="62"/>
      <c r="J50" s="62"/>
    </row>
    <row r="51" spans="2:14" ht="32.25" customHeight="1" x14ac:dyDescent="0.2">
      <c r="E51" s="19" t="s">
        <v>60</v>
      </c>
      <c r="F51" s="12" t="s">
        <v>61</v>
      </c>
      <c r="G51" s="19"/>
      <c r="H51" s="19"/>
      <c r="I51" s="19"/>
      <c r="J51" s="20" t="s">
        <v>62</v>
      </c>
      <c r="K51" s="20" t="s">
        <v>63</v>
      </c>
      <c r="L51" s="22" t="s">
        <v>64</v>
      </c>
      <c r="M51" s="13"/>
      <c r="N51" s="22"/>
    </row>
    <row r="52" spans="2:14" x14ac:dyDescent="0.2">
      <c r="E52" s="32" t="s">
        <v>43</v>
      </c>
      <c r="F52" s="27">
        <f>SUMIF(P:P,E52,L:L)</f>
        <v>527500</v>
      </c>
      <c r="G52" s="27">
        <f>SUMIF(P:P,F52,G:G)+SUMIF(P:P,F52,O:O)</f>
        <v>0</v>
      </c>
      <c r="H52" s="27">
        <f>SUMIF(Q:Q,G52,H:H)+SUMIF(Q:Q,G52,P:P)</f>
        <v>0</v>
      </c>
      <c r="I52" s="27">
        <f>SUMIF(R:R,H52,I:I)+SUMIF(R:R,H52,Q:Q)</f>
        <v>0</v>
      </c>
      <c r="J52" s="29">
        <f>SUMIF(P:P,E52,K:K)</f>
        <v>0.17</v>
      </c>
      <c r="K52" s="29">
        <f>SUMIF(P:P,E52,$J:$J)</f>
        <v>0.15629246422686327</v>
      </c>
      <c r="L52" s="23">
        <f>SUMIF(P:P,E52,O:O)</f>
        <v>0.12721842197872757</v>
      </c>
    </row>
    <row r="53" spans="2:14" x14ac:dyDescent="0.2">
      <c r="E53" s="32" t="s">
        <v>48</v>
      </c>
      <c r="F53" s="27">
        <f>SUMIF(P:P,E53,L:L)</f>
        <v>1924400</v>
      </c>
      <c r="J53" s="29">
        <f>SUMIF(P:P,E53,K:K)</f>
        <v>0.05</v>
      </c>
      <c r="K53" s="29">
        <f>SUMIF(P:P,E53,$J:$J)</f>
        <v>0</v>
      </c>
      <c r="L53" s="23">
        <f>SUMIF(P:P,E53,O:O)</f>
        <v>8.7559894884912618E-3</v>
      </c>
    </row>
    <row r="54" spans="2:14" x14ac:dyDescent="0.2">
      <c r="E54" s="46" t="s">
        <v>51</v>
      </c>
      <c r="F54" s="27">
        <f>SUMIF(P:P,E54,L:L)</f>
        <v>-1718700</v>
      </c>
      <c r="J54" s="29">
        <f>SUMIF(P:P,E54,K:K)</f>
        <v>0</v>
      </c>
      <c r="K54" s="29">
        <f>SUMIF(P:P,E54,$J:$J)</f>
        <v>4.4656154893601641E-2</v>
      </c>
      <c r="L54" s="23">
        <f>SUMIF(P:P,E54,O:O)</f>
        <v>2.3558637194328925E-2</v>
      </c>
    </row>
    <row r="55" spans="2:14" x14ac:dyDescent="0.2">
      <c r="E55" s="15" t="s">
        <v>47</v>
      </c>
      <c r="F55" s="27">
        <f>SUMIF(P:P,E55,L:L)</f>
        <v>-3850400</v>
      </c>
      <c r="J55" s="29">
        <f>SUMIF(P:P,E55,K:K)</f>
        <v>0</v>
      </c>
      <c r="K55" s="29">
        <f>SUMIF(P:P,E55,$J:$J)</f>
        <v>0.10004170729820368</v>
      </c>
      <c r="L55" s="23">
        <f>SUMIF(P:P,E55,O:O)</f>
        <v>6.5355517484744219E-2</v>
      </c>
    </row>
    <row r="56" spans="2:14" x14ac:dyDescent="0.2">
      <c r="E56" s="9" t="s">
        <v>65</v>
      </c>
      <c r="F56" s="28">
        <f>SUM(F52:F54)</f>
        <v>733200</v>
      </c>
      <c r="G56" s="30"/>
      <c r="H56" s="30"/>
      <c r="I56" s="30"/>
      <c r="J56" s="26">
        <f>SUM(J52:J55)</f>
        <v>0.22000000000000003</v>
      </c>
      <c r="K56" s="26">
        <f>SUM(K52:K55)</f>
        <v>0.30099032641866857</v>
      </c>
      <c r="L56" s="26">
        <f>SUM(L52:L55)</f>
        <v>0.22488856614629199</v>
      </c>
    </row>
    <row r="57" spans="2:14" x14ac:dyDescent="0.2">
      <c r="F57" s="27"/>
      <c r="J57" s="23"/>
      <c r="K57" s="23"/>
    </row>
    <row r="58" spans="2:14" x14ac:dyDescent="0.2">
      <c r="E58" s="9" t="s">
        <v>66</v>
      </c>
      <c r="F58" s="27"/>
      <c r="J58" s="23"/>
      <c r="K58" s="23"/>
    </row>
    <row r="59" spans="2:14" x14ac:dyDescent="0.2">
      <c r="E59" s="32" t="s">
        <v>46</v>
      </c>
      <c r="F59" s="27">
        <f t="shared" ref="F59:F68" si="6">SUMIF(P:P,E59,L:L)</f>
        <v>-1362000</v>
      </c>
      <c r="J59" s="29">
        <f t="shared" ref="J59:J68" si="7">SUMIF(P:P,E59,K:K)</f>
        <v>0.23</v>
      </c>
      <c r="K59" s="29">
        <f t="shared" ref="K59:K68" si="8">SUMIF(P:P,E59,$J:$J)</f>
        <v>0.26538669753733063</v>
      </c>
      <c r="L59" s="23">
        <f t="shared" ref="L59:L68" si="9">SUMIF(P:P,E59,O:O)</f>
        <v>0.2638593539158226</v>
      </c>
    </row>
    <row r="60" spans="2:14" x14ac:dyDescent="0.2">
      <c r="E60" s="32" t="s">
        <v>67</v>
      </c>
      <c r="F60" s="27">
        <f t="shared" si="6"/>
        <v>0</v>
      </c>
      <c r="J60" s="29">
        <f t="shared" si="7"/>
        <v>0</v>
      </c>
      <c r="K60" s="29">
        <f t="shared" si="8"/>
        <v>0</v>
      </c>
      <c r="L60" s="23">
        <f t="shared" si="9"/>
        <v>0</v>
      </c>
    </row>
    <row r="61" spans="2:14" x14ac:dyDescent="0.2">
      <c r="E61" s="32" t="s">
        <v>50</v>
      </c>
      <c r="F61" s="27">
        <f t="shared" si="6"/>
        <v>-2152200</v>
      </c>
      <c r="J61" s="29">
        <f t="shared" si="7"/>
        <v>0.04</v>
      </c>
      <c r="K61" s="29">
        <f t="shared" si="8"/>
        <v>9.5919165039692555E-2</v>
      </c>
      <c r="L61" s="23">
        <f t="shared" si="9"/>
        <v>9.0125142321788823E-2</v>
      </c>
    </row>
    <row r="62" spans="2:14" x14ac:dyDescent="0.2">
      <c r="E62" s="32" t="s">
        <v>45</v>
      </c>
      <c r="F62" s="27">
        <f t="shared" si="6"/>
        <v>37600</v>
      </c>
      <c r="J62" s="29">
        <f t="shared" si="7"/>
        <v>0.04</v>
      </c>
      <c r="K62" s="29">
        <f t="shared" si="8"/>
        <v>3.9024170984850906E-2</v>
      </c>
      <c r="L62" s="23">
        <f t="shared" si="9"/>
        <v>3.9024170984850906E-2</v>
      </c>
    </row>
    <row r="63" spans="2:14" x14ac:dyDescent="0.2">
      <c r="E63" s="32" t="s">
        <v>49</v>
      </c>
      <c r="F63" s="27">
        <f t="shared" si="6"/>
        <v>6574600</v>
      </c>
      <c r="J63" s="29">
        <f t="shared" si="7"/>
        <v>0.22</v>
      </c>
      <c r="K63" s="29">
        <f t="shared" si="8"/>
        <v>4.9175195637424535E-2</v>
      </c>
      <c r="L63" s="23">
        <f t="shared" si="9"/>
        <v>0.19096891020893406</v>
      </c>
    </row>
    <row r="64" spans="2:14" x14ac:dyDescent="0.2">
      <c r="E64" s="32" t="s">
        <v>42</v>
      </c>
      <c r="F64" s="27">
        <f t="shared" si="6"/>
        <v>-3981000</v>
      </c>
      <c r="J64" s="29">
        <f t="shared" si="7"/>
        <v>0</v>
      </c>
      <c r="K64" s="29">
        <f t="shared" si="8"/>
        <v>0.10343604898687928</v>
      </c>
      <c r="L64" s="23">
        <f t="shared" si="9"/>
        <v>5.1471719678325784E-2</v>
      </c>
    </row>
    <row r="65" spans="5:12" x14ac:dyDescent="0.2">
      <c r="E65" s="32" t="s">
        <v>41</v>
      </c>
      <c r="F65" s="27">
        <f t="shared" si="6"/>
        <v>-1178500</v>
      </c>
      <c r="J65" s="29">
        <f t="shared" si="7"/>
        <v>0.04</v>
      </c>
      <c r="K65" s="29">
        <f t="shared" si="8"/>
        <v>7.0621134684354409E-2</v>
      </c>
      <c r="L65" s="23">
        <f t="shared" si="9"/>
        <v>4.00234143785001E-2</v>
      </c>
    </row>
    <row r="66" spans="5:12" x14ac:dyDescent="0.2">
      <c r="E66" s="46" t="s">
        <v>68</v>
      </c>
      <c r="F66" s="27">
        <f t="shared" si="6"/>
        <v>0</v>
      </c>
      <c r="J66" s="29">
        <f t="shared" si="7"/>
        <v>0</v>
      </c>
      <c r="K66" s="29">
        <f t="shared" si="8"/>
        <v>0</v>
      </c>
      <c r="L66" s="23">
        <f t="shared" si="9"/>
        <v>0</v>
      </c>
    </row>
    <row r="67" spans="5:12" x14ac:dyDescent="0.2">
      <c r="E67" s="46" t="s">
        <v>69</v>
      </c>
      <c r="F67" s="27">
        <f t="shared" si="6"/>
        <v>0</v>
      </c>
      <c r="J67" s="29">
        <f t="shared" si="7"/>
        <v>0</v>
      </c>
      <c r="K67" s="29">
        <f t="shared" si="8"/>
        <v>0</v>
      </c>
      <c r="L67" s="23">
        <f t="shared" si="9"/>
        <v>0</v>
      </c>
    </row>
    <row r="68" spans="5:12" x14ac:dyDescent="0.2">
      <c r="E68" s="32" t="s">
        <v>70</v>
      </c>
      <c r="F68" s="27">
        <f t="shared" si="6"/>
        <v>7300</v>
      </c>
      <c r="J68" s="29">
        <f t="shared" si="7"/>
        <v>0.06</v>
      </c>
      <c r="K68" s="29">
        <f t="shared" si="8"/>
        <v>5.9810545766847495E-2</v>
      </c>
      <c r="L68" s="23">
        <f t="shared" si="9"/>
        <v>5.9810545766847495E-2</v>
      </c>
    </row>
    <row r="69" spans="5:12" x14ac:dyDescent="0.2">
      <c r="E69" s="9" t="s">
        <v>71</v>
      </c>
      <c r="F69" s="28">
        <f>SUM(F59:F68)</f>
        <v>-2054200</v>
      </c>
      <c r="G69" s="30"/>
      <c r="H69" s="30"/>
      <c r="I69" s="30"/>
      <c r="J69" s="31">
        <f>SUM(J59:J68)</f>
        <v>0.63000000000000012</v>
      </c>
      <c r="K69" s="26">
        <f>SUM(K59:K68)</f>
        <v>0.68337295863737979</v>
      </c>
      <c r="L69" s="26">
        <f>SUM(L59:L68)</f>
        <v>0.73528325725506971</v>
      </c>
    </row>
    <row r="70" spans="5:12" x14ac:dyDescent="0.2">
      <c r="F70" s="27"/>
      <c r="J70" s="23"/>
      <c r="K70" s="23"/>
    </row>
    <row r="71" spans="5:12" x14ac:dyDescent="0.2">
      <c r="E71" s="5" t="s">
        <v>56</v>
      </c>
      <c r="F71" s="27">
        <f>SUMIF(O:O,E71,F:F)+SUMIF(O:O,E71,L:L)</f>
        <v>0</v>
      </c>
      <c r="J71" s="29">
        <f>SUMIF(P:P,E71,K:K)</f>
        <v>0.1</v>
      </c>
      <c r="K71" s="29">
        <f>SUMIF(P:P,E71,J:J)</f>
        <v>1.5636714943951753E-2</v>
      </c>
      <c r="L71" s="23">
        <f>SUMIF(P:P,E71,O:O)</f>
        <v>3.9828176598638382E-2</v>
      </c>
    </row>
    <row r="72" spans="5:12" x14ac:dyDescent="0.2">
      <c r="F72" s="57">
        <f>SUM(F56+F69+F71)</f>
        <v>-1321000</v>
      </c>
      <c r="J72" s="23">
        <f>SUM(J56+J69+J71)</f>
        <v>0.95000000000000007</v>
      </c>
      <c r="K72" s="23">
        <f>SUM(K56+K69+K71)</f>
        <v>1.0000000000000002</v>
      </c>
      <c r="L72" s="23">
        <f>SUM(L56+L69+L71)</f>
        <v>1</v>
      </c>
    </row>
  </sheetData>
  <autoFilter ref="A6:V6" xr:uid="{00000000-0001-0000-0200-000000000000}">
    <sortState xmlns:xlrd2="http://schemas.microsoft.com/office/spreadsheetml/2017/richdata2" ref="A7:V26">
      <sortCondition ref="P6"/>
    </sortState>
  </autoFilter>
  <mergeCells count="7">
    <mergeCell ref="K43:L43"/>
    <mergeCell ref="B48:J50"/>
    <mergeCell ref="B44:E44"/>
    <mergeCell ref="B46:E46"/>
    <mergeCell ref="B1:J1"/>
    <mergeCell ref="B2:J2"/>
    <mergeCell ref="B3:J3"/>
  </mergeCells>
  <conditionalFormatting sqref="B48:J50">
    <cfRule type="expression" dxfId="18" priority="172" stopIfTrue="1">
      <formula>$I46&gt;0.2</formula>
    </cfRule>
  </conditionalFormatting>
  <conditionalFormatting sqref="K41:K43">
    <cfRule type="expression" dxfId="17" priority="97" stopIfTrue="1">
      <formula>OR(J41-K41&gt;=0.005,J41-K41&lt;=-0.005)</formula>
    </cfRule>
  </conditionalFormatting>
  <conditionalFormatting sqref="K7">
    <cfRule type="expression" dxfId="16" priority="81" stopIfTrue="1">
      <formula>OR(J7-K7&gt;=0.005,J7-K7&lt;=-0.005)</formula>
    </cfRule>
  </conditionalFormatting>
  <conditionalFormatting sqref="O7">
    <cfRule type="expression" dxfId="15" priority="75" stopIfTrue="1">
      <formula>OR(O7-K7&gt;=0.005,O7-K7&lt;=-0.005)</formula>
    </cfRule>
  </conditionalFormatting>
  <conditionalFormatting sqref="E68 L52:L55">
    <cfRule type="expression" dxfId="14" priority="68" stopIfTrue="1">
      <formula>OR($L52-$J52&gt;=0.005,$L52-$J52&lt;=-0.005)</formula>
    </cfRule>
  </conditionalFormatting>
  <conditionalFormatting sqref="E52:E53">
    <cfRule type="expression" dxfId="13" priority="66" stopIfTrue="1">
      <formula>OR($L52-$J52&gt;=0.005,$L52-$J52&lt;=-0.005)</formula>
    </cfRule>
  </conditionalFormatting>
  <conditionalFormatting sqref="E59:E65">
    <cfRule type="expression" dxfId="12" priority="64" stopIfTrue="1">
      <formula>OR($L59-$J59&gt;=0.005,$L59-$J59&lt;=-0.005)</formula>
    </cfRule>
  </conditionalFormatting>
  <conditionalFormatting sqref="U5">
    <cfRule type="expression" dxfId="11" priority="54" stopIfTrue="1">
      <formula>$M5&lt;&gt;""</formula>
    </cfRule>
  </conditionalFormatting>
  <conditionalFormatting sqref="B41:D42 E32:E33 C32:C37">
    <cfRule type="expression" dxfId="10" priority="53" stopIfTrue="1">
      <formula>AND(OR($B32=$V$5,$B32=$V$6),$M32&lt;&gt;"")</formula>
    </cfRule>
  </conditionalFormatting>
  <conditionalFormatting sqref="F41:F42 F33:F37">
    <cfRule type="expression" dxfId="9" priority="51" stopIfTrue="1">
      <formula>AND(OR($B33=$V$5,$B33=$V$6),$M33&lt;&gt;"")</formula>
    </cfRule>
  </conditionalFormatting>
  <conditionalFormatting sqref="E56:E196 N7 E7 E41:E54 N41:N196">
    <cfRule type="expression" dxfId="8" priority="173" stopIfTrue="1">
      <formula>$N7&lt;&gt;""</formula>
    </cfRule>
  </conditionalFormatting>
  <conditionalFormatting sqref="B7:E27 B38:E40 B28:B37 C28 E28 C29:E29 C30:C31 E30:E31">
    <cfRule type="expression" dxfId="7" priority="175" stopIfTrue="1">
      <formula>AND(OR($B7=$V$5,$B7=$V$6),$N7&lt;&gt;"")</formula>
    </cfRule>
  </conditionalFormatting>
  <conditionalFormatting sqref="F38:F40 F7:F32">
    <cfRule type="expression" dxfId="6" priority="177" stopIfTrue="1">
      <formula>AND(OR($B7=$V$5,$B7=$V$6),$N7&lt;&gt;"")</formula>
    </cfRule>
  </conditionalFormatting>
  <conditionalFormatting sqref="L59:L68">
    <cfRule type="expression" dxfId="5" priority="38" stopIfTrue="1">
      <formula>OR($L59-$J59&gt;=0.005,$L59-$J59&lt;=-0.005)</formula>
    </cfRule>
  </conditionalFormatting>
  <conditionalFormatting sqref="K8:K40">
    <cfRule type="expression" dxfId="4" priority="9" stopIfTrue="1">
      <formula>OR(J8-K8&gt;=0.005,J8-K8&lt;=-0.005)</formula>
    </cfRule>
  </conditionalFormatting>
  <conditionalFormatting sqref="O8:O40">
    <cfRule type="expression" dxfId="3" priority="8" stopIfTrue="1">
      <formula>OR(O8-K8&gt;=0.005,O8-K8&lt;=-0.005)</formula>
    </cfRule>
  </conditionalFormatting>
  <conditionalFormatting sqref="E8:E27 E38:E40 N8:N40">
    <cfRule type="expression" dxfId="2" priority="10" stopIfTrue="1">
      <formula>$N8&lt;&gt;""</formula>
    </cfRule>
  </conditionalFormatting>
  <conditionalFormatting sqref="E32:E37">
    <cfRule type="expression" dxfId="1" priority="5" stopIfTrue="1">
      <formula>$N32&lt;&gt;""</formula>
    </cfRule>
  </conditionalFormatting>
  <conditionalFormatting sqref="E28:E31">
    <cfRule type="expression" dxfId="0" priority="2" stopIfTrue="1">
      <formula>$N28&lt;&gt;""</formula>
    </cfRule>
  </conditionalFormatting>
  <pageMargins left="0.75" right="0.75" top="1" bottom="1" header="0.5" footer="0.5"/>
  <pageSetup paperSize="9" scale="79" orientation="landscape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2022-07-08T15:13:14Z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