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rm1\PycharmProjects\deal_checker\"/>
    </mc:Choice>
  </mc:AlternateContent>
  <xr:revisionPtr revIDLastSave="0" documentId="13_ncr:1_{6AB1299C-AE36-4008-B6C3-4571C84AD0F9}" xr6:coauthVersionLast="47" xr6:coauthVersionMax="47" xr10:uidLastSave="{00000000-0000-0000-0000-000000000000}"/>
  <bookViews>
    <workbookView xWindow="28680" yWindow="-30" windowWidth="29040" windowHeight="15840" activeTab="2" xr2:uid="{00000000-000D-0000-FFFF-FFFF00000000}"/>
  </bookViews>
  <sheets>
    <sheet name="IOControl" sheetId="1" r:id="rId1"/>
    <sheet name="APOLLO_LINKS" sheetId="2" state="hidden" r:id="rId2"/>
    <sheet name="Rebalancer" sheetId="3" r:id="rId3"/>
  </sheets>
  <definedNames>
    <definedName name="_xlnm._FilterDatabase" localSheetId="2" hidden="1">Rebalancer!$A$6:$V$6</definedName>
    <definedName name="DIST_2C_COL">Rebalancer!$P$7</definedName>
    <definedName name="DIST_AG_COL">Rebalancer!$A$7</definedName>
    <definedName name="DIST_CV_COL">Rebalancer!$G$7</definedName>
    <definedName name="DIST_D1_COL">Rebalancer!$E$7</definedName>
    <definedName name="DIST_DETAIL_ROW">Rebalancer!$7:$7</definedName>
    <definedName name="DIST_INSERTED_ROWS">Rebalancer!$8:$24</definedName>
    <definedName name="DIST_LC_COL">Rebalancer!$H$7</definedName>
    <definedName name="DIST_NM_COL">Rebalancer!$F$7</definedName>
    <definedName name="DIST_REQ_ACCOUNT">IOControl!$B$5</definedName>
    <definedName name="DIST_REQ_DATE">IOControl!$B$6</definedName>
    <definedName name="DIST_REQ_FILTER_CODE_1">IOControl!$G$2</definedName>
    <definedName name="DIST_REQ_FILTER_CODE_2">IOControl!$G$3</definedName>
    <definedName name="DIST_REQ_FILTER_OPERAND_1">IOControl!$H$2</definedName>
    <definedName name="DIST_REQ_FILTER_OPERAND_2">IOControl!$H$3</definedName>
    <definedName name="DIST_REQ_FILTER_VALUE_1">IOControl!$I$2</definedName>
    <definedName name="DIST_REQ_FILTER_VALUE_2">IOControl!$I$3</definedName>
    <definedName name="DIST_REQ_SCTY_ONLY">IOControl!$B$7</definedName>
    <definedName name="DIST_SN_COL">Rebalancer!$B$7</definedName>
    <definedName name="DIST_U5_COL">Rebalancer!$C$7</definedName>
    <definedName name="IO_CUR_COL">1</definedName>
    <definedName name="IO_CUR_ROW">7</definedName>
    <definedName name="IO_DATA">IOControl!$B$2</definedName>
    <definedName name="IO_DATA2">IOControl!$B$9</definedName>
    <definedName name="IO_REPORT_TYPE">IOControl!$B$3</definedName>
    <definedName name="IO_REPORT_TYPE2">IOControl!$B$10</definedName>
    <definedName name="PARM_Account">IOControl!$E$2</definedName>
    <definedName name="PARM_Date">IOControl!$E$3</definedName>
    <definedName name="_xlnm.Print_Area" localSheetId="2">Rebalancer!$A$1:$Q$42</definedName>
    <definedName name="VALU_BV">Rebalancer!$I$40</definedName>
    <definedName name="VALU_JC">Rebalancer!$G$40</definedName>
    <definedName name="VALU_MN">Rebalancer!$B$2</definedName>
    <definedName name="VALU_REQ_ACCOUNT">IOControl!$B$12</definedName>
    <definedName name="VALU_REQ_CLASS">IOControl!$B$13</definedName>
    <definedName name="VALU_REQ_DATE">IOControl!$B$14</definedName>
    <definedName name="VALU_REQ_PERIOD_TYPE">IOControl!$B$16</definedName>
    <definedName name="VALU_REQ_PERIODS">IOControl!$B$15</definedName>
    <definedName name="VALU_XA">Rebalancer!$H$40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" i="3" l="1"/>
  <c r="D14" i="3"/>
  <c r="D16" i="3"/>
  <c r="D24" i="3"/>
  <c r="D13" i="3"/>
  <c r="D8" i="3"/>
  <c r="D7" i="3"/>
  <c r="D18" i="3"/>
  <c r="D12" i="3"/>
  <c r="D23" i="3"/>
  <c r="D22" i="3"/>
  <c r="D17" i="3"/>
  <c r="D11" i="3"/>
  <c r="D10" i="3"/>
  <c r="D15" i="3"/>
  <c r="D21" i="3"/>
  <c r="D9" i="3"/>
  <c r="D19" i="3"/>
  <c r="B6" i="1"/>
  <c r="J51" i="3" l="1"/>
  <c r="J67" i="3"/>
  <c r="J64" i="3"/>
  <c r="L63" i="3"/>
  <c r="K63" i="3"/>
  <c r="J63" i="3"/>
  <c r="F63" i="3"/>
  <c r="L62" i="3"/>
  <c r="K62" i="3"/>
  <c r="J62" i="3"/>
  <c r="F62" i="3"/>
  <c r="J61" i="3"/>
  <c r="J60" i="3"/>
  <c r="J59" i="3"/>
  <c r="J58" i="3"/>
  <c r="J57" i="3"/>
  <c r="J56" i="3"/>
  <c r="J55" i="3"/>
  <c r="J50" i="3"/>
  <c r="J49" i="3"/>
  <c r="J48" i="3"/>
  <c r="K42" i="3"/>
  <c r="F40" i="3"/>
  <c r="D20" i="3"/>
  <c r="B4" i="3"/>
  <c r="B3" i="3"/>
  <c r="L1" i="3"/>
  <c r="B14" i="1"/>
  <c r="B12" i="1"/>
  <c r="B5" i="1"/>
  <c r="J52" i="3" l="1"/>
  <c r="J65" i="3"/>
  <c r="F42" i="3"/>
  <c r="M45" i="3" s="1"/>
  <c r="M40" i="3"/>
  <c r="L35" i="3" l="1"/>
  <c r="O35" i="3"/>
  <c r="L34" i="3"/>
  <c r="O34" i="3"/>
  <c r="L33" i="3"/>
  <c r="O33" i="3"/>
  <c r="L31" i="3"/>
  <c r="O31" i="3"/>
  <c r="L32" i="3"/>
  <c r="O32" i="3"/>
  <c r="O30" i="3"/>
  <c r="L30" i="3"/>
  <c r="O29" i="3"/>
  <c r="L29" i="3"/>
  <c r="L28" i="3"/>
  <c r="O28" i="3"/>
  <c r="J27" i="3"/>
  <c r="L27" i="3" s="1"/>
  <c r="O27" i="3"/>
  <c r="J26" i="3"/>
  <c r="L26" i="3" s="1"/>
  <c r="O26" i="3"/>
  <c r="J8" i="3"/>
  <c r="J14" i="3"/>
  <c r="J16" i="3"/>
  <c r="J13" i="3"/>
  <c r="J7" i="3"/>
  <c r="J12" i="3"/>
  <c r="J22" i="3"/>
  <c r="J11" i="3"/>
  <c r="J15" i="3"/>
  <c r="J9" i="3"/>
  <c r="J24" i="3"/>
  <c r="J18" i="3"/>
  <c r="J23" i="3"/>
  <c r="J17" i="3"/>
  <c r="J10" i="3"/>
  <c r="J21" i="3"/>
  <c r="J19" i="3"/>
  <c r="K64" i="3" s="1"/>
  <c r="J68" i="3"/>
  <c r="O40" i="3"/>
  <c r="L67" i="3" s="1"/>
  <c r="J40" i="3"/>
  <c r="K67" i="3" s="1"/>
  <c r="K59" i="3"/>
  <c r="J20" i="3"/>
  <c r="K51" i="3" l="1"/>
  <c r="L22" i="3"/>
  <c r="O22" i="3"/>
  <c r="O17" i="3"/>
  <c r="L17" i="3"/>
  <c r="O12" i="3"/>
  <c r="L12" i="3"/>
  <c r="O23" i="3"/>
  <c r="L23" i="3"/>
  <c r="L13" i="3"/>
  <c r="O13" i="3"/>
  <c r="L7" i="3"/>
  <c r="O7" i="3"/>
  <c r="O18" i="3"/>
  <c r="L18" i="3"/>
  <c r="O16" i="3"/>
  <c r="L16" i="3"/>
  <c r="O24" i="3"/>
  <c r="L24" i="3"/>
  <c r="L9" i="3"/>
  <c r="O9" i="3"/>
  <c r="L57" i="3" s="1"/>
  <c r="O14" i="3"/>
  <c r="L50" i="3" s="1"/>
  <c r="L14" i="3"/>
  <c r="F50" i="3" s="1"/>
  <c r="O21" i="3"/>
  <c r="L21" i="3"/>
  <c r="L11" i="3"/>
  <c r="O11" i="3"/>
  <c r="O10" i="3"/>
  <c r="L10" i="3"/>
  <c r="K56" i="3"/>
  <c r="O19" i="3"/>
  <c r="L64" i="3" s="1"/>
  <c r="L19" i="3"/>
  <c r="F64" i="3" s="1"/>
  <c r="L15" i="3"/>
  <c r="O15" i="3"/>
  <c r="O8" i="3"/>
  <c r="L8" i="3"/>
  <c r="F51" i="3" s="1"/>
  <c r="F49" i="3"/>
  <c r="K49" i="3"/>
  <c r="I42" i="3"/>
  <c r="B44" i="3" s="1"/>
  <c r="K50" i="3"/>
  <c r="L59" i="3"/>
  <c r="K48" i="3"/>
  <c r="K57" i="3"/>
  <c r="K58" i="3"/>
  <c r="K60" i="3"/>
  <c r="L20" i="3"/>
  <c r="O20" i="3"/>
  <c r="K61" i="3"/>
  <c r="K55" i="3"/>
  <c r="L44" i="3" l="1"/>
  <c r="L45" i="3" s="1"/>
  <c r="F56" i="3"/>
  <c r="L61" i="3"/>
  <c r="L56" i="3"/>
  <c r="L49" i="3"/>
  <c r="F60" i="3"/>
  <c r="F57" i="3"/>
  <c r="L48" i="3"/>
  <c r="K52" i="3"/>
  <c r="K65" i="3"/>
  <c r="F67" i="3"/>
  <c r="L51" i="3"/>
  <c r="F48" i="3"/>
  <c r="G48" i="3" s="1"/>
  <c r="H48" i="3" s="1"/>
  <c r="I48" i="3" s="1"/>
  <c r="L58" i="3"/>
  <c r="F55" i="3"/>
  <c r="F59" i="3"/>
  <c r="F61" i="3"/>
  <c r="L55" i="3"/>
  <c r="L40" i="3"/>
  <c r="F58" i="3"/>
  <c r="L60" i="3"/>
  <c r="F65" i="3" l="1"/>
  <c r="K68" i="3"/>
  <c r="L52" i="3"/>
  <c r="F52" i="3"/>
  <c r="L65" i="3"/>
  <c r="F68" i="3" l="1"/>
  <c r="L68" i="3"/>
</calcChain>
</file>

<file path=xl/sharedStrings.xml><?xml version="1.0" encoding="utf-8"?>
<sst xmlns="http://schemas.openxmlformats.org/spreadsheetml/2006/main" count="244" uniqueCount="155">
  <si>
    <t>Parms</t>
  </si>
  <si>
    <t>Filters</t>
  </si>
  <si>
    <t>Data Source</t>
  </si>
  <si>
    <t>DIST</t>
  </si>
  <si>
    <t>PARM_Account</t>
  </si>
  <si>
    <t>AG</t>
  </si>
  <si>
    <t>=</t>
  </si>
  <si>
    <t>S:MF</t>
  </si>
  <si>
    <t>Report Type</t>
  </si>
  <si>
    <t>LIST</t>
  </si>
  <si>
    <t>PARM_Date</t>
  </si>
  <si>
    <t>MV</t>
  </si>
  <si>
    <t>!</t>
  </si>
  <si>
    <t>Account</t>
  </si>
  <si>
    <t>Date</t>
  </si>
  <si>
    <t>Scty Only</t>
  </si>
  <si>
    <t>Y</t>
  </si>
  <si>
    <t>VALU</t>
  </si>
  <si>
    <t>REPORT</t>
  </si>
  <si>
    <t>Class</t>
  </si>
  <si>
    <t>0</t>
  </si>
  <si>
    <t>Periods</t>
  </si>
  <si>
    <t>1</t>
  </si>
  <si>
    <t>Period Type</t>
  </si>
  <si>
    <t>D</t>
  </si>
  <si>
    <t>Portfolio Holdings</t>
  </si>
  <si>
    <t>NUMBER OF TRADES</t>
  </si>
  <si>
    <t>MI TWENTYFOUR DYNAMIC BOND I GROSS ACC</t>
  </si>
  <si>
    <t>B5VNH23</t>
  </si>
  <si>
    <t>SEDOL</t>
  </si>
  <si>
    <t>ISIN</t>
  </si>
  <si>
    <t>ISIN Check</t>
  </si>
  <si>
    <t>Fund Name</t>
  </si>
  <si>
    <t>Market Value</t>
  </si>
  <si>
    <t>%</t>
  </si>
  <si>
    <t>Target</t>
  </si>
  <si>
    <t>Undeweight Overweight</t>
  </si>
  <si>
    <t>Deal Amount</t>
  </si>
  <si>
    <t>Post Trade %</t>
  </si>
  <si>
    <t>ARDEVORA GLOBAL EQUITY C</t>
  </si>
  <si>
    <t>B4XSRG3</t>
  </si>
  <si>
    <t>EMERGING MARKETS</t>
  </si>
  <si>
    <t>GLOBAL</t>
  </si>
  <si>
    <t>BOND</t>
  </si>
  <si>
    <t>S</t>
  </si>
  <si>
    <t>EUROPE</t>
  </si>
  <si>
    <t>UK</t>
  </si>
  <si>
    <t>ABSOLUTE RETURN</t>
  </si>
  <si>
    <t>PROPERTY</t>
  </si>
  <si>
    <t>USA</t>
  </si>
  <si>
    <t>ASIA PACIFIC</t>
  </si>
  <si>
    <t>COMMODITY</t>
  </si>
  <si>
    <t>Adjustment Cash</t>
  </si>
  <si>
    <t>Current</t>
  </si>
  <si>
    <t>Post Trade</t>
  </si>
  <si>
    <t>Uninvested Cash + Net Income + Adjustment Cash</t>
  </si>
  <si>
    <t>CASH/MONEY MARKETS</t>
  </si>
  <si>
    <t>Total Portfolio Value</t>
  </si>
  <si>
    <t>Total Deals</t>
  </si>
  <si>
    <t>New Cash</t>
  </si>
  <si>
    <t>Bonds</t>
  </si>
  <si>
    <t>Deal to Target</t>
  </si>
  <si>
    <t>TARGET Exposure</t>
  </si>
  <si>
    <t>CURRENT Exposure</t>
  </si>
  <si>
    <t>POST TRADE Exposure</t>
  </si>
  <si>
    <t>Total Bonds + Property</t>
  </si>
  <si>
    <t>Equities</t>
  </si>
  <si>
    <t>UK EQUITY INCOME</t>
  </si>
  <si>
    <t xml:space="preserve">IA 20-60% </t>
  </si>
  <si>
    <t xml:space="preserve">IA 0-35% </t>
  </si>
  <si>
    <t>JAPAN</t>
  </si>
  <si>
    <t>Total Equities</t>
  </si>
  <si>
    <t>Unit Quantity</t>
  </si>
  <si>
    <t>Currency</t>
  </si>
  <si>
    <t>MF</t>
  </si>
  <si>
    <t>BLACKROCK UK EQUITY I ACC</t>
  </si>
  <si>
    <t>BAILLIE GIFFORD JAPANESE B ACC</t>
  </si>
  <si>
    <t>STEWART INVESTORS ASA PAC LDRS B ACC GBP</t>
  </si>
  <si>
    <t>ARTEMIS INCOME INSTITUTIONAL ACC</t>
  </si>
  <si>
    <t>HERMES GLOBAL EMERGING MARKETS F ACC</t>
  </si>
  <si>
    <t>ROYAL LONDON STERLING CREDIT Z FUND INCOME</t>
  </si>
  <si>
    <t>ROYAL LONDON GLOBAL INDEX LINKED Z INC</t>
  </si>
  <si>
    <t>ARTEMIS GLOBAL SELECT FUND I ACC</t>
  </si>
  <si>
    <t>FRANKLIN UK EQUITY INCOME FUND W ACC</t>
  </si>
  <si>
    <t>MFM SLATER GROWTH CLASS P ACC</t>
  </si>
  <si>
    <t>INVESCO TACTICAL BOND FUND (UK) Z (ACC)</t>
  </si>
  <si>
    <t>LF Blue Whale Growth Fund I Sterling Acc</t>
  </si>
  <si>
    <t>AHFM STRUCTURED PRODUCTS FUND B GBP ACC</t>
  </si>
  <si>
    <t>ARTEMIS TGT BD FD F ACC</t>
  </si>
  <si>
    <t>L&amp;G SHORT DATED STERLING CORPORATE BOND INDEX FUND</t>
  </si>
  <si>
    <t>ALLIANZ UK EQUITY INCOME FUND CLASS E SHARES INCOM</t>
  </si>
  <si>
    <t>BLACKROCK CONTINENTAL EUROPE X ACC</t>
  </si>
  <si>
    <t>MERIAN GOLD &amp; SILVER FUND R GBP ACC</t>
  </si>
  <si>
    <t>GBP</t>
  </si>
  <si>
    <t>B2PLJH1</t>
  </si>
  <si>
    <t>B3DJ5K9</t>
  </si>
  <si>
    <t>B4W1ZT2</t>
  </si>
  <si>
    <t>B53R4H7</t>
  </si>
  <si>
    <t>B568S20</t>
  </si>
  <si>
    <t>B7DRD63</t>
  </si>
  <si>
    <t>B7T0G90</t>
  </si>
  <si>
    <t>B8N45T8</t>
  </si>
  <si>
    <t>BD6PG56</t>
  </si>
  <si>
    <t>BFLR220</t>
  </si>
  <si>
    <t>BJXPPK9</t>
  </si>
  <si>
    <t>BKGR3F0</t>
  </si>
  <si>
    <t>BMH6XK5</t>
  </si>
  <si>
    <t>BYSXC02</t>
  </si>
  <si>
    <t>BYVJRH9</t>
  </si>
  <si>
    <t>GB0005803530</t>
  </si>
  <si>
    <t>GB0006011133</t>
  </si>
  <si>
    <t>GB0033874768</t>
  </si>
  <si>
    <t>GB00B2PLJH12</t>
  </si>
  <si>
    <t>IE00B3DJ5K90</t>
  </si>
  <si>
    <t>GB00B4W1ZT22</t>
  </si>
  <si>
    <t>GB00B53R4H74</t>
  </si>
  <si>
    <t>GB00B568S201</t>
  </si>
  <si>
    <t>GB00B7DRD638</t>
  </si>
  <si>
    <t>GB00B7T0G907</t>
  </si>
  <si>
    <t>GB00B8N45T82</t>
  </si>
  <si>
    <t>GB00BD6PG563</t>
  </si>
  <si>
    <t>IE00BFLR2202</t>
  </si>
  <si>
    <t>GB00BJXPPK95</t>
  </si>
  <si>
    <t>GB00BKGR3F07</t>
  </si>
  <si>
    <t>GB00BMH6XK58</t>
  </si>
  <si>
    <t>GB00BYSXC022</t>
  </si>
  <si>
    <t>IE00BYVJRH94</t>
  </si>
  <si>
    <t>CLARION PRUDENCE</t>
  </si>
  <si>
    <t>CIS</t>
  </si>
  <si>
    <t>Absolute return</t>
  </si>
  <si>
    <t>Europe</t>
  </si>
  <si>
    <t>SELL ALL</t>
  </si>
  <si>
    <t>GB00BRJL7V21</t>
  </si>
  <si>
    <t>ASI Asia Pacific Equity Enhanced Index B Acc in GB</t>
  </si>
  <si>
    <t>IE00B4WXJK79</t>
  </si>
  <si>
    <t>iShares UK Gilts 0-5yr UCITS ETF</t>
  </si>
  <si>
    <t>Bond</t>
  </si>
  <si>
    <t>GB00BG08N399</t>
  </si>
  <si>
    <t>ASI Short Dated Global Corporate Bond Tracker B Acc</t>
  </si>
  <si>
    <t>GB00B58YKH53</t>
  </si>
  <si>
    <t>iShares Overseas Corporate Bond Index (UK) D Acc in GB</t>
  </si>
  <si>
    <t>IE00B1FZSD53</t>
  </si>
  <si>
    <t>iShares £ Index-Linked Gilts UCITS ETF</t>
  </si>
  <si>
    <t xml:space="preserve">IE00BRHZ0398 </t>
  </si>
  <si>
    <t>iShares MSCI Target UK Real Estate UCITS ETF GBP</t>
  </si>
  <si>
    <t>Property</t>
  </si>
  <si>
    <t>GB00B3X7QG63</t>
  </si>
  <si>
    <t>Vanguard FTSE U.K. All Share Index Unit Trust A Acc GBP in GB</t>
  </si>
  <si>
    <t>GB00BMMV5766</t>
  </si>
  <si>
    <t>Artemis US Smaller Companies I Acc GBP in GB</t>
  </si>
  <si>
    <t>GB00BJS8SH10</t>
  </si>
  <si>
    <t>Fidelity Index US P in GB</t>
  </si>
  <si>
    <t>IE00BLNMYC90</t>
  </si>
  <si>
    <t>Xtrackers S&amp;P 500 Equal Weight UCITS ETF</t>
  </si>
  <si>
    <t>ETF/Broker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</si>
</sst>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(&quot;£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15" fontId="0" fillId="0" borderId="0" xfId="0" applyNumberFormat="1"/>
    <xf numFmtId="14" fontId="0" fillId="0" borderId="0" xfId="0" applyNumberFormat="1"/>
    <xf numFmtId="10" fontId="0" fillId="2" borderId="0" xfId="0" applyNumberFormat="1" applyFill="1" applyAlignment="1" applyProtection="1">
      <alignment horizontal="right"/>
      <protection locked="0"/>
    </xf>
    <xf numFmtId="10" fontId="0" fillId="3" borderId="0" xfId="0" applyNumberFormat="1" applyFill="1" applyAlignment="1" applyProtection="1">
      <alignment horizontal="right"/>
      <protection locked="0"/>
    </xf>
    <xf numFmtId="0" fontId="0" fillId="0" borderId="0" xfId="0" applyProtection="1">
      <protection locked="0"/>
    </xf>
    <xf numFmtId="10" fontId="0" fillId="0" borderId="0" xfId="0" applyNumberFormat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10" fontId="1" fillId="0" borderId="0" xfId="0" applyNumberFormat="1" applyFont="1" applyAlignment="1" applyProtection="1">
      <alignment horizontal="right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0" fillId="4" borderId="0" xfId="0" applyFill="1" applyProtection="1">
      <protection locked="0"/>
    </xf>
    <xf numFmtId="164" fontId="0" fillId="4" borderId="1" xfId="0" applyNumberFormat="1" applyFill="1" applyBorder="1" applyAlignment="1" applyProtection="1">
      <alignment horizontal="right"/>
      <protection locked="0"/>
    </xf>
    <xf numFmtId="164" fontId="0" fillId="5" borderId="2" xfId="0" applyNumberFormat="1" applyFill="1" applyBorder="1" applyProtection="1">
      <protection locked="0"/>
    </xf>
    <xf numFmtId="0" fontId="1" fillId="0" borderId="0" xfId="0" applyFont="1" applyAlignment="1" applyProtection="1">
      <alignment wrapText="1"/>
      <protection locked="0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10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0" fontId="1" fillId="5" borderId="5" xfId="1" applyFont="1" applyFill="1" applyBorder="1" applyAlignment="1" applyProtection="1">
      <alignment horizontal="left"/>
      <protection locked="0"/>
    </xf>
    <xf numFmtId="0" fontId="2" fillId="5" borderId="6" xfId="1" applyFill="1" applyBorder="1" applyAlignment="1" applyProtection="1">
      <alignment horizontal="left"/>
      <protection locked="0"/>
    </xf>
    <xf numFmtId="10" fontId="1" fillId="0" borderId="7" xfId="0" applyNumberFormat="1" applyFont="1" applyBorder="1" applyAlignment="1" applyProtection="1">
      <alignment horizontal="center"/>
      <protection locked="0"/>
    </xf>
    <xf numFmtId="164" fontId="1" fillId="0" borderId="8" xfId="0" applyNumberFormat="1" applyFont="1" applyBorder="1" applyAlignment="1" applyProtection="1">
      <alignment horizontal="center"/>
      <protection locked="0"/>
    </xf>
    <xf numFmtId="10" fontId="0" fillId="0" borderId="8" xfId="0" applyNumberFormat="1" applyBorder="1" applyAlignment="1">
      <alignment horizontal="center"/>
    </xf>
    <xf numFmtId="10" fontId="0" fillId="0" borderId="7" xfId="0" applyNumberFormat="1" applyBorder="1" applyAlignment="1" applyProtection="1">
      <alignment horizontal="center"/>
      <protection locked="0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 applyProtection="1">
      <alignment horizontal="center"/>
      <protection locked="0"/>
    </xf>
    <xf numFmtId="164" fontId="0" fillId="6" borderId="1" xfId="0" applyNumberFormat="1" applyFill="1" applyBorder="1" applyProtection="1">
      <protection locked="0"/>
    </xf>
    <xf numFmtId="164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1" fillId="5" borderId="6" xfId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0" fontId="0" fillId="0" borderId="0" xfId="0" applyNumberFormat="1" applyAlignment="1" applyProtection="1">
      <alignment horizontal="left" wrapText="1"/>
      <protection locked="0"/>
    </xf>
    <xf numFmtId="164" fontId="0" fillId="0" borderId="0" xfId="0" applyNumberFormat="1" applyAlignment="1" applyProtection="1">
      <alignment horizontal="right"/>
      <protection locked="0"/>
    </xf>
    <xf numFmtId="10" fontId="1" fillId="7" borderId="10" xfId="0" applyNumberFormat="1" applyFont="1" applyFill="1" applyBorder="1" applyAlignment="1" applyProtection="1">
      <alignment horizontal="left" wrapText="1"/>
      <protection locked="0"/>
    </xf>
    <xf numFmtId="2" fontId="1" fillId="7" borderId="11" xfId="0" applyNumberFormat="1" applyFont="1" applyFill="1" applyBorder="1" applyAlignment="1">
      <alignment horizontal="right" vertical="center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10" fontId="1" fillId="3" borderId="8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</cellXfs>
  <cellStyles count="2">
    <cellStyle name="Normal" xfId="0" builtinId="0"/>
    <cellStyle name="Normal 2" xfId="1" xr:uid="{00000000-0005-0000-0000-000001000000}"/>
  </cellStyles>
  <dxfs count="17">
    <dxf>
      <font>
        <b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</font>
    </dxf>
    <dxf>
      <font>
        <b/>
        <color rgb="FFFF0000"/>
      </font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  <fill>
        <patternFill>
          <bgColor rgb="FFFFFF9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6" tint="0.39994506668294322"/>
        </patternFill>
      </fill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</font>
    </dxf>
    <dxf>
      <font>
        <b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workbookViewId="0">
      <selection activeCell="I3" sqref="I3"/>
    </sheetView>
  </sheetViews>
  <sheetFormatPr defaultRowHeight="12.75" x14ac:dyDescent="0.2"/>
  <cols>
    <col min="1" max="1" width="11.28515625" bestFit="1" customWidth="1"/>
    <col min="4" max="4" width="14.42578125" bestFit="1" customWidth="1"/>
    <col min="5" max="5" width="10.140625" bestFit="1" customWidth="1"/>
  </cols>
  <sheetData>
    <row r="1" spans="1:9" x14ac:dyDescent="0.2">
      <c r="D1" t="s">
        <v>0</v>
      </c>
      <c r="G1" t="s">
        <v>1</v>
      </c>
    </row>
    <row r="2" spans="1:9" x14ac:dyDescent="0.2">
      <c r="A2" t="s">
        <v>2</v>
      </c>
      <c r="B2" t="s">
        <v>3</v>
      </c>
      <c r="D2" t="s">
        <v>4</v>
      </c>
      <c r="E2">
        <v>397789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 t="s">
        <v>9</v>
      </c>
      <c r="D3" t="s">
        <v>10</v>
      </c>
      <c r="E3" s="2">
        <v>44749</v>
      </c>
      <c r="G3" t="s">
        <v>11</v>
      </c>
      <c r="H3" t="s">
        <v>12</v>
      </c>
      <c r="I3">
        <v>0</v>
      </c>
    </row>
    <row r="5" spans="1:9" x14ac:dyDescent="0.2">
      <c r="A5" t="s">
        <v>13</v>
      </c>
      <c r="B5">
        <f>PARM_Account</f>
        <v>397789</v>
      </c>
    </row>
    <row r="6" spans="1:9" x14ac:dyDescent="0.2">
      <c r="A6" t="s">
        <v>14</v>
      </c>
      <c r="B6" s="1">
        <f>PARM_Date</f>
        <v>44749</v>
      </c>
    </row>
    <row r="7" spans="1:9" x14ac:dyDescent="0.2">
      <c r="A7" t="s">
        <v>15</v>
      </c>
      <c r="B7" t="s">
        <v>16</v>
      </c>
    </row>
    <row r="9" spans="1:9" x14ac:dyDescent="0.2">
      <c r="A9" t="s">
        <v>2</v>
      </c>
      <c r="B9" t="s">
        <v>17</v>
      </c>
    </row>
    <row r="10" spans="1:9" x14ac:dyDescent="0.2">
      <c r="A10" t="s">
        <v>8</v>
      </c>
      <c r="B10" t="s">
        <v>18</v>
      </c>
    </row>
    <row r="12" spans="1:9" x14ac:dyDescent="0.2">
      <c r="A12" t="s">
        <v>13</v>
      </c>
      <c r="B12">
        <f>PARM_Account</f>
        <v>397789</v>
      </c>
    </row>
    <row r="13" spans="1:9" x14ac:dyDescent="0.2">
      <c r="A13" t="s">
        <v>19</v>
      </c>
      <c r="B13" t="s">
        <v>20</v>
      </c>
    </row>
    <row r="14" spans="1:9" x14ac:dyDescent="0.2">
      <c r="A14" t="s">
        <v>14</v>
      </c>
      <c r="B14" s="1">
        <f>PARM_Date</f>
        <v>44749</v>
      </c>
    </row>
    <row r="15" spans="1:9" x14ac:dyDescent="0.2">
      <c r="A15" t="s">
        <v>21</v>
      </c>
      <c r="B15" t="s">
        <v>22</v>
      </c>
    </row>
    <row r="16" spans="1:9" x14ac:dyDescent="0.2">
      <c r="A16" t="s">
        <v>23</v>
      </c>
      <c r="B16" t="s">
        <v>24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V68"/>
  <sheetViews>
    <sheetView showGridLines="0" tabSelected="1" topLeftCell="B4" zoomScaleNormal="100" workbookViewId="0">
      <selection activeCell="Q15" sqref="Q15"/>
    </sheetView>
  </sheetViews>
  <sheetFormatPr defaultRowHeight="12.75" x14ac:dyDescent="0.2"/>
  <cols>
    <col min="1" max="1" width="8" style="5" customWidth="1"/>
    <col min="2" max="4" width="15.85546875" style="14" customWidth="1"/>
    <col min="5" max="5" width="62.7109375" style="5" customWidth="1"/>
    <col min="6" max="6" width="15.42578125" style="8" customWidth="1"/>
    <col min="7" max="7" width="12.7109375" style="5" hidden="1" customWidth="1"/>
    <col min="8" max="8" width="5.5703125" style="5" hidden="1" customWidth="1"/>
    <col min="9" max="9" width="5.140625" style="5" hidden="1" customWidth="1"/>
    <col min="10" max="10" width="12" style="6" customWidth="1"/>
    <col min="11" max="11" width="12.85546875" style="6" customWidth="1"/>
    <col min="12" max="12" width="15.5703125" style="21" customWidth="1"/>
    <col min="13" max="13" width="14" style="7" bestFit="1" customWidth="1"/>
    <col min="14" max="14" width="13.85546875" style="21" customWidth="1"/>
    <col min="15" max="15" width="9.140625" style="5" customWidth="1"/>
    <col min="16" max="16" width="15.140625" style="5" customWidth="1"/>
    <col min="17" max="20" width="9.140625" style="5" customWidth="1"/>
    <col min="21" max="21" width="45.140625" style="5" bestFit="1" customWidth="1"/>
    <col min="22" max="22" width="9.140625" style="5" customWidth="1"/>
    <col min="23" max="16384" width="9.140625" style="5"/>
  </cols>
  <sheetData>
    <row r="1" spans="1:22" ht="26.25" customHeight="1" thickBot="1" x14ac:dyDescent="0.25">
      <c r="B1" s="65" t="s">
        <v>25</v>
      </c>
      <c r="C1" s="61"/>
      <c r="D1" s="61"/>
      <c r="E1" s="61"/>
      <c r="F1" s="61"/>
      <c r="G1" s="61"/>
      <c r="H1" s="61"/>
      <c r="I1" s="61"/>
      <c r="J1" s="61"/>
      <c r="K1" s="51" t="s">
        <v>26</v>
      </c>
      <c r="L1" s="52">
        <f>COUNT(N:N)</f>
        <v>26</v>
      </c>
      <c r="M1" s="50"/>
    </row>
    <row r="2" spans="1:22" x14ac:dyDescent="0.2">
      <c r="B2" s="65" t="s">
        <v>127</v>
      </c>
      <c r="C2" s="61"/>
      <c r="D2" s="61"/>
      <c r="E2" s="61"/>
      <c r="F2" s="61"/>
      <c r="G2" s="61"/>
      <c r="H2" s="61"/>
      <c r="I2" s="61"/>
      <c r="J2" s="61"/>
      <c r="K2" s="49"/>
    </row>
    <row r="3" spans="1:22" x14ac:dyDescent="0.2">
      <c r="B3" s="66" t="str">
        <f>IF(IOControl!E3&lt;1,"",""&amp;TEXT(IOControl!E3,"dd mmm yyyy"))</f>
        <v>07 Jul 2022</v>
      </c>
      <c r="C3" s="61"/>
      <c r="D3" s="61"/>
      <c r="E3" s="61"/>
      <c r="F3" s="61"/>
      <c r="G3" s="61"/>
      <c r="H3" s="61"/>
      <c r="I3" s="61"/>
      <c r="J3" s="61"/>
    </row>
    <row r="4" spans="1:22" x14ac:dyDescent="0.2">
      <c r="B4" s="54">
        <f>IF(PARM_Account&lt;1,"",PARM_Account)</f>
        <v>397789</v>
      </c>
      <c r="C4" s="54"/>
      <c r="D4" s="54"/>
    </row>
    <row r="5" spans="1:22" x14ac:dyDescent="0.2">
      <c r="U5" s="5" t="s">
        <v>27</v>
      </c>
      <c r="V5" s="14" t="s">
        <v>28</v>
      </c>
    </row>
    <row r="6" spans="1:22" s="9" customFormat="1" ht="25.5" x14ac:dyDescent="0.2">
      <c r="B6" s="53" t="s">
        <v>29</v>
      </c>
      <c r="C6" s="53" t="s">
        <v>30</v>
      </c>
      <c r="D6" s="53" t="s">
        <v>31</v>
      </c>
      <c r="E6" s="9" t="s">
        <v>32</v>
      </c>
      <c r="F6" s="10" t="s">
        <v>33</v>
      </c>
      <c r="G6" s="9" t="s">
        <v>72</v>
      </c>
      <c r="H6" s="9" t="s">
        <v>73</v>
      </c>
      <c r="J6" s="11" t="s">
        <v>34</v>
      </c>
      <c r="K6" s="11" t="s">
        <v>35</v>
      </c>
      <c r="L6" s="22" t="s">
        <v>36</v>
      </c>
      <c r="N6" s="45" t="s">
        <v>37</v>
      </c>
      <c r="O6" s="22" t="s">
        <v>38</v>
      </c>
      <c r="U6" s="15" t="s">
        <v>39</v>
      </c>
      <c r="V6" s="14" t="s">
        <v>40</v>
      </c>
    </row>
    <row r="7" spans="1:22" x14ac:dyDescent="0.2">
      <c r="A7" s="5" t="s">
        <v>44</v>
      </c>
      <c r="B7" s="14" t="s">
        <v>103</v>
      </c>
      <c r="C7" s="14" t="s">
        <v>121</v>
      </c>
      <c r="D7" s="48" t="str">
        <f t="shared" ref="D7:D24" si="0">IF(RIGHT(LEFT(C7,11),7)=B7,"OK","CHECK")</f>
        <v>OK</v>
      </c>
      <c r="E7" s="5" t="s">
        <v>87</v>
      </c>
      <c r="F7" s="8">
        <v>617278.84</v>
      </c>
      <c r="G7" s="5">
        <v>372662.9057</v>
      </c>
      <c r="H7" s="5" t="s">
        <v>93</v>
      </c>
      <c r="J7" s="6">
        <f t="shared" ref="J7:J24" si="1">F7/F$42</f>
        <v>4.9235948576815576E-2</v>
      </c>
      <c r="K7" s="3">
        <v>0</v>
      </c>
      <c r="L7" s="21">
        <f t="shared" ref="L7:L24" si="2">ROUND((K7-J7)*F$42,-2)</f>
        <v>-617300</v>
      </c>
      <c r="N7" s="44">
        <v>-325000</v>
      </c>
      <c r="O7" s="23">
        <f t="shared" ref="O7:O24" si="3">IF(OR(N7="",F7=""),J7,(F7+N7)/$F$42)</f>
        <v>2.3313007029904517E-2</v>
      </c>
      <c r="P7" s="15" t="s">
        <v>129</v>
      </c>
      <c r="Q7" s="5" t="s">
        <v>128</v>
      </c>
    </row>
    <row r="8" spans="1:22" s="55" customFormat="1" x14ac:dyDescent="0.2">
      <c r="A8" s="55" t="s">
        <v>74</v>
      </c>
      <c r="B8" s="14" t="s">
        <v>104</v>
      </c>
      <c r="C8" s="14" t="s">
        <v>122</v>
      </c>
      <c r="D8" s="48" t="str">
        <f t="shared" si="0"/>
        <v>OK</v>
      </c>
      <c r="E8" s="55" t="s">
        <v>88</v>
      </c>
      <c r="F8" s="8">
        <v>792601.96</v>
      </c>
      <c r="G8" s="55">
        <v>756660.58600000001</v>
      </c>
      <c r="H8" s="55" t="s">
        <v>93</v>
      </c>
      <c r="J8" s="6">
        <f t="shared" si="1"/>
        <v>6.3220228550914262E-2</v>
      </c>
      <c r="K8" s="3">
        <v>0</v>
      </c>
      <c r="L8" s="21">
        <f t="shared" si="2"/>
        <v>-792600</v>
      </c>
      <c r="M8" s="7"/>
      <c r="N8" s="44">
        <v>-143000</v>
      </c>
      <c r="O8" s="23">
        <f t="shared" si="3"/>
        <v>5.1814134270273392E-2</v>
      </c>
      <c r="P8" s="15" t="s">
        <v>129</v>
      </c>
      <c r="Q8" s="55" t="s">
        <v>128</v>
      </c>
    </row>
    <row r="9" spans="1:22" s="55" customFormat="1" x14ac:dyDescent="0.2">
      <c r="A9" s="55" t="s">
        <v>74</v>
      </c>
      <c r="B9" s="14">
        <v>3387476</v>
      </c>
      <c r="C9" s="14" t="s">
        <v>111</v>
      </c>
      <c r="D9" s="48" t="str">
        <f t="shared" si="0"/>
        <v>CHECK</v>
      </c>
      <c r="E9" s="55" t="s">
        <v>77</v>
      </c>
      <c r="F9" s="8">
        <v>647958.56999999995</v>
      </c>
      <c r="G9" s="55">
        <v>66689.849000000002</v>
      </c>
      <c r="H9" s="55" t="s">
        <v>93</v>
      </c>
      <c r="J9" s="6">
        <f t="shared" si="1"/>
        <v>5.1683052722861764E-2</v>
      </c>
      <c r="K9" s="3">
        <v>0</v>
      </c>
      <c r="L9" s="21">
        <f t="shared" si="2"/>
        <v>-648000</v>
      </c>
      <c r="M9" s="7"/>
      <c r="N9" s="44">
        <v>-90000</v>
      </c>
      <c r="O9" s="23">
        <f t="shared" si="3"/>
        <v>4.4504391986794088E-2</v>
      </c>
      <c r="P9" s="15" t="s">
        <v>50</v>
      </c>
      <c r="Q9" s="55" t="s">
        <v>128</v>
      </c>
    </row>
    <row r="10" spans="1:22" s="55" customFormat="1" x14ac:dyDescent="0.2">
      <c r="A10" s="55" t="s">
        <v>74</v>
      </c>
      <c r="B10" s="14" t="s">
        <v>96</v>
      </c>
      <c r="C10" s="14" t="s">
        <v>114</v>
      </c>
      <c r="D10" s="48" t="str">
        <f t="shared" si="0"/>
        <v>OK</v>
      </c>
      <c r="E10" s="55" t="s">
        <v>80</v>
      </c>
      <c r="F10" s="8">
        <v>846704.65</v>
      </c>
      <c r="G10" s="55">
        <v>682826.32810000004</v>
      </c>
      <c r="H10" s="55" t="s">
        <v>93</v>
      </c>
      <c r="J10" s="6">
        <f t="shared" si="1"/>
        <v>6.7535615844454722E-2</v>
      </c>
      <c r="K10" s="3">
        <v>4.4999999999999998E-2</v>
      </c>
      <c r="L10" s="21">
        <f t="shared" si="2"/>
        <v>-282500</v>
      </c>
      <c r="M10" s="7"/>
      <c r="N10" s="44">
        <v>-280000</v>
      </c>
      <c r="O10" s="23">
        <f t="shared" si="3"/>
        <v>4.5202004665577507E-2</v>
      </c>
      <c r="P10" s="15" t="s">
        <v>43</v>
      </c>
      <c r="Q10" s="55" t="s">
        <v>128</v>
      </c>
    </row>
    <row r="11" spans="1:22" s="55" customFormat="1" x14ac:dyDescent="0.2">
      <c r="A11" s="55" t="s">
        <v>74</v>
      </c>
      <c r="B11" s="14" t="s">
        <v>97</v>
      </c>
      <c r="C11" s="14" t="s">
        <v>115</v>
      </c>
      <c r="D11" s="48" t="str">
        <f t="shared" si="0"/>
        <v>OK</v>
      </c>
      <c r="E11" s="55" t="s">
        <v>81</v>
      </c>
      <c r="F11" s="8">
        <v>835543.16</v>
      </c>
      <c r="G11" s="55">
        <v>616637.01939999999</v>
      </c>
      <c r="H11" s="55" t="s">
        <v>93</v>
      </c>
      <c r="J11" s="6">
        <f t="shared" si="1"/>
        <v>6.6645343066465704E-2</v>
      </c>
      <c r="K11" s="3">
        <v>0</v>
      </c>
      <c r="L11" s="21">
        <f t="shared" si="2"/>
        <v>-835500</v>
      </c>
      <c r="M11" s="7"/>
      <c r="N11" s="44">
        <v>-460000</v>
      </c>
      <c r="O11" s="23">
        <f t="shared" si="3"/>
        <v>2.9954410415453128E-2</v>
      </c>
      <c r="P11" s="15" t="s">
        <v>43</v>
      </c>
      <c r="Q11" s="55" t="s">
        <v>128</v>
      </c>
    </row>
    <row r="12" spans="1:22" s="55" customFormat="1" x14ac:dyDescent="0.2">
      <c r="A12" s="55" t="s">
        <v>74</v>
      </c>
      <c r="B12" s="14" t="s">
        <v>101</v>
      </c>
      <c r="C12" s="14" t="s">
        <v>119</v>
      </c>
      <c r="D12" s="48" t="str">
        <f t="shared" si="0"/>
        <v>OK</v>
      </c>
      <c r="E12" s="55" t="s">
        <v>85</v>
      </c>
      <c r="F12" s="8">
        <v>1111678</v>
      </c>
      <c r="G12" s="55">
        <v>417672.83</v>
      </c>
      <c r="H12" s="55" t="s">
        <v>93</v>
      </c>
      <c r="J12" s="6">
        <f t="shared" si="1"/>
        <v>8.8670657886113807E-2</v>
      </c>
      <c r="K12" s="3">
        <v>0</v>
      </c>
      <c r="L12" s="21">
        <f t="shared" si="2"/>
        <v>-1111700</v>
      </c>
      <c r="M12" s="7"/>
      <c r="N12" s="44">
        <v>-1111678</v>
      </c>
      <c r="O12" s="23">
        <f t="shared" si="3"/>
        <v>0</v>
      </c>
      <c r="P12" s="15" t="s">
        <v>43</v>
      </c>
      <c r="Q12" s="55" t="s">
        <v>131</v>
      </c>
    </row>
    <row r="13" spans="1:22" s="55" customFormat="1" x14ac:dyDescent="0.2">
      <c r="A13" s="55" t="s">
        <v>74</v>
      </c>
      <c r="B13" s="14" t="s">
        <v>105</v>
      </c>
      <c r="C13" s="14" t="s">
        <v>123</v>
      </c>
      <c r="D13" s="48" t="str">
        <f t="shared" si="0"/>
        <v>OK</v>
      </c>
      <c r="E13" s="55" t="s">
        <v>89</v>
      </c>
      <c r="F13" s="8">
        <v>1012021.4</v>
      </c>
      <c r="G13" s="55">
        <v>1792139.8929999999</v>
      </c>
      <c r="H13" s="55" t="s">
        <v>93</v>
      </c>
      <c r="J13" s="6">
        <f t="shared" si="1"/>
        <v>8.0721758758224904E-2</v>
      </c>
      <c r="K13" s="3">
        <v>4.4999999999999998E-2</v>
      </c>
      <c r="L13" s="21">
        <f t="shared" si="2"/>
        <v>-447800</v>
      </c>
      <c r="M13" s="7"/>
      <c r="N13" s="44">
        <v>-450000</v>
      </c>
      <c r="O13" s="23">
        <f t="shared" si="3"/>
        <v>4.4828455077886513E-2</v>
      </c>
      <c r="P13" s="15" t="s">
        <v>43</v>
      </c>
      <c r="Q13" s="55" t="s">
        <v>128</v>
      </c>
    </row>
    <row r="14" spans="1:22" s="55" customFormat="1" x14ac:dyDescent="0.2">
      <c r="A14" s="55" t="s">
        <v>74</v>
      </c>
      <c r="B14" s="14" t="s">
        <v>108</v>
      </c>
      <c r="C14" s="14" t="s">
        <v>126</v>
      </c>
      <c r="D14" s="48" t="str">
        <f t="shared" si="0"/>
        <v>OK</v>
      </c>
      <c r="E14" s="55" t="s">
        <v>92</v>
      </c>
      <c r="F14" s="8">
        <v>553464.93000000005</v>
      </c>
      <c r="G14" s="55">
        <v>36204.466999999997</v>
      </c>
      <c r="H14" s="55" t="s">
        <v>93</v>
      </c>
      <c r="J14" s="6">
        <f t="shared" si="1"/>
        <v>4.4145966242016062E-2</v>
      </c>
      <c r="K14" s="3">
        <v>0</v>
      </c>
      <c r="L14" s="21">
        <f t="shared" si="2"/>
        <v>-553500</v>
      </c>
      <c r="M14" s="7"/>
      <c r="N14" s="44">
        <v>-270000</v>
      </c>
      <c r="O14" s="23">
        <f t="shared" si="3"/>
        <v>2.2609984033813032E-2</v>
      </c>
      <c r="P14" s="15" t="s">
        <v>51</v>
      </c>
      <c r="Q14" s="55" t="s">
        <v>128</v>
      </c>
    </row>
    <row r="15" spans="1:22" s="55" customFormat="1" x14ac:dyDescent="0.2">
      <c r="A15" s="55" t="s">
        <v>44</v>
      </c>
      <c r="B15" s="14" t="s">
        <v>95</v>
      </c>
      <c r="C15" s="14" t="s">
        <v>113</v>
      </c>
      <c r="D15" s="48" t="str">
        <f t="shared" si="0"/>
        <v>OK</v>
      </c>
      <c r="E15" s="57" t="s">
        <v>79</v>
      </c>
      <c r="F15" s="8">
        <v>500994.59</v>
      </c>
      <c r="G15" s="55">
        <v>235684.52239999999</v>
      </c>
      <c r="H15" s="55" t="s">
        <v>93</v>
      </c>
      <c r="J15" s="6">
        <f t="shared" si="1"/>
        <v>3.9960779913503601E-2</v>
      </c>
      <c r="K15" s="3">
        <v>0</v>
      </c>
      <c r="L15" s="21">
        <f t="shared" si="2"/>
        <v>-501000</v>
      </c>
      <c r="M15" s="7"/>
      <c r="N15" s="44">
        <v>-500994.59</v>
      </c>
      <c r="O15" s="23">
        <f t="shared" si="3"/>
        <v>0</v>
      </c>
      <c r="P15" s="15" t="s">
        <v>41</v>
      </c>
      <c r="Q15" s="56" t="s">
        <v>131</v>
      </c>
    </row>
    <row r="16" spans="1:22" s="55" customFormat="1" x14ac:dyDescent="0.2">
      <c r="A16" s="55" t="s">
        <v>44</v>
      </c>
      <c r="B16" s="14" t="s">
        <v>107</v>
      </c>
      <c r="C16" s="14" t="s">
        <v>125</v>
      </c>
      <c r="D16" s="48" t="str">
        <f t="shared" si="0"/>
        <v>OK</v>
      </c>
      <c r="E16" s="55" t="s">
        <v>91</v>
      </c>
      <c r="F16" s="8">
        <v>367672.43</v>
      </c>
      <c r="G16" s="55">
        <v>176358.609</v>
      </c>
      <c r="H16" s="55" t="s">
        <v>93</v>
      </c>
      <c r="J16" s="6">
        <f t="shared" si="1"/>
        <v>2.9326618188617683E-2</v>
      </c>
      <c r="K16" s="3">
        <v>0.03</v>
      </c>
      <c r="L16" s="21">
        <f t="shared" si="2"/>
        <v>8400</v>
      </c>
      <c r="M16" s="7"/>
      <c r="N16" s="44"/>
      <c r="O16" s="23">
        <f t="shared" si="3"/>
        <v>2.9326618188617683E-2</v>
      </c>
      <c r="P16" s="15" t="s">
        <v>130</v>
      </c>
      <c r="Q16" s="55" t="s">
        <v>128</v>
      </c>
    </row>
    <row r="17" spans="1:17" s="55" customFormat="1" x14ac:dyDescent="0.2">
      <c r="A17" s="55" t="s">
        <v>74</v>
      </c>
      <c r="B17" s="14" t="s">
        <v>98</v>
      </c>
      <c r="C17" s="14" t="s">
        <v>116</v>
      </c>
      <c r="D17" s="48" t="str">
        <f t="shared" si="0"/>
        <v>OK</v>
      </c>
      <c r="E17" s="55" t="s">
        <v>82</v>
      </c>
      <c r="F17" s="8">
        <v>624920.16</v>
      </c>
      <c r="G17" s="55">
        <v>389795.50699999998</v>
      </c>
      <c r="H17" s="55" t="s">
        <v>93</v>
      </c>
      <c r="J17" s="6">
        <f t="shared" si="1"/>
        <v>4.9845442397434783E-2</v>
      </c>
      <c r="K17" s="3">
        <v>0</v>
      </c>
      <c r="L17" s="21">
        <f t="shared" si="2"/>
        <v>-624900</v>
      </c>
      <c r="M17" s="7"/>
      <c r="N17" s="44">
        <v>-325000</v>
      </c>
      <c r="O17" s="23">
        <f t="shared" si="3"/>
        <v>2.3922500850523731E-2</v>
      </c>
      <c r="P17" s="15" t="s">
        <v>42</v>
      </c>
      <c r="Q17" s="55" t="s">
        <v>128</v>
      </c>
    </row>
    <row r="18" spans="1:17" s="55" customFormat="1" x14ac:dyDescent="0.2">
      <c r="A18" s="55" t="s">
        <v>74</v>
      </c>
      <c r="B18" s="14" t="s">
        <v>102</v>
      </c>
      <c r="C18" s="14" t="s">
        <v>120</v>
      </c>
      <c r="D18" s="48" t="str">
        <f t="shared" si="0"/>
        <v>OK</v>
      </c>
      <c r="E18" s="55" t="s">
        <v>86</v>
      </c>
      <c r="F18" s="8">
        <v>647116.49</v>
      </c>
      <c r="G18" s="55">
        <v>419987.33600000001</v>
      </c>
      <c r="H18" s="55" t="s">
        <v>93</v>
      </c>
      <c r="J18" s="6">
        <f t="shared" si="1"/>
        <v>5.1615885982499235E-2</v>
      </c>
      <c r="K18" s="3">
        <v>0</v>
      </c>
      <c r="L18" s="21">
        <f t="shared" si="2"/>
        <v>-647100</v>
      </c>
      <c r="M18" s="7"/>
      <c r="N18" s="44">
        <v>-325000</v>
      </c>
      <c r="O18" s="23">
        <f t="shared" si="3"/>
        <v>2.5692944435588182E-2</v>
      </c>
      <c r="P18" s="15" t="s">
        <v>42</v>
      </c>
      <c r="Q18" s="55" t="s">
        <v>128</v>
      </c>
    </row>
    <row r="19" spans="1:17" s="55" customFormat="1" x14ac:dyDescent="0.2">
      <c r="A19" s="55" t="s">
        <v>74</v>
      </c>
      <c r="B19" s="14">
        <v>601113</v>
      </c>
      <c r="C19" s="14" t="s">
        <v>110</v>
      </c>
      <c r="D19" s="48" t="str">
        <f t="shared" si="0"/>
        <v>CHECK</v>
      </c>
      <c r="E19" s="55" t="s">
        <v>76</v>
      </c>
      <c r="F19" s="8">
        <v>650990.98</v>
      </c>
      <c r="G19" s="55">
        <v>37521.093999999997</v>
      </c>
      <c r="H19" s="55" t="s">
        <v>93</v>
      </c>
      <c r="J19" s="6">
        <f t="shared" si="1"/>
        <v>5.1924926529557977E-2</v>
      </c>
      <c r="K19" s="3">
        <v>0.05</v>
      </c>
      <c r="L19" s="21">
        <f t="shared" si="2"/>
        <v>-24100</v>
      </c>
      <c r="M19" s="7"/>
      <c r="N19" s="44"/>
      <c r="O19" s="23">
        <f t="shared" si="3"/>
        <v>5.1924926529557977E-2</v>
      </c>
      <c r="P19" s="15" t="s">
        <v>70</v>
      </c>
      <c r="Q19" s="55" t="s">
        <v>128</v>
      </c>
    </row>
    <row r="20" spans="1:17" s="55" customFormat="1" x14ac:dyDescent="0.2">
      <c r="A20" s="55" t="s">
        <v>44</v>
      </c>
      <c r="B20" s="14">
        <v>580353</v>
      </c>
      <c r="C20" s="14" t="s">
        <v>109</v>
      </c>
      <c r="D20" s="48" t="str">
        <f t="shared" si="0"/>
        <v>CHECK</v>
      </c>
      <c r="E20" s="57" t="s">
        <v>75</v>
      </c>
      <c r="F20" s="8">
        <v>500273.44</v>
      </c>
      <c r="G20" s="55">
        <v>5999.1729999999998</v>
      </c>
      <c r="H20" s="55" t="s">
        <v>93</v>
      </c>
      <c r="J20" s="6">
        <f t="shared" si="1"/>
        <v>3.9903258900283428E-2</v>
      </c>
      <c r="K20" s="3">
        <v>0</v>
      </c>
      <c r="L20" s="21">
        <f t="shared" si="2"/>
        <v>-500300</v>
      </c>
      <c r="M20" s="7"/>
      <c r="N20" s="44">
        <v>-500273.44</v>
      </c>
      <c r="O20" s="23">
        <f t="shared" si="3"/>
        <v>0</v>
      </c>
      <c r="P20" s="15" t="s">
        <v>46</v>
      </c>
      <c r="Q20" s="55" t="s">
        <v>128</v>
      </c>
    </row>
    <row r="21" spans="1:17" s="55" customFormat="1" x14ac:dyDescent="0.2">
      <c r="A21" s="55" t="s">
        <v>44</v>
      </c>
      <c r="B21" s="14" t="s">
        <v>94</v>
      </c>
      <c r="C21" s="14" t="s">
        <v>112</v>
      </c>
      <c r="D21" s="48" t="str">
        <f t="shared" si="0"/>
        <v>OK</v>
      </c>
      <c r="E21" s="55" t="s">
        <v>78</v>
      </c>
      <c r="F21" s="8">
        <v>646801.34</v>
      </c>
      <c r="G21" s="55">
        <v>125109.06299999999</v>
      </c>
      <c r="H21" s="55" t="s">
        <v>93</v>
      </c>
      <c r="J21" s="6">
        <f t="shared" si="1"/>
        <v>5.1590748705488437E-2</v>
      </c>
      <c r="K21" s="3">
        <v>0</v>
      </c>
      <c r="L21" s="21">
        <f t="shared" si="2"/>
        <v>-646800</v>
      </c>
      <c r="M21" s="7"/>
      <c r="N21" s="44">
        <v>-646801.34</v>
      </c>
      <c r="O21" s="23">
        <f t="shared" si="3"/>
        <v>0</v>
      </c>
      <c r="P21" s="15" t="s">
        <v>46</v>
      </c>
      <c r="Q21" s="55" t="s">
        <v>128</v>
      </c>
    </row>
    <row r="22" spans="1:17" s="55" customFormat="1" x14ac:dyDescent="0.2">
      <c r="A22" s="55" t="s">
        <v>74</v>
      </c>
      <c r="B22" s="14" t="s">
        <v>99</v>
      </c>
      <c r="C22" s="14" t="s">
        <v>117</v>
      </c>
      <c r="D22" s="48" t="str">
        <f t="shared" si="0"/>
        <v>OK</v>
      </c>
      <c r="E22" s="55" t="s">
        <v>83</v>
      </c>
      <c r="F22" s="8">
        <v>731701.06</v>
      </c>
      <c r="G22" s="55">
        <v>312159.15600000002</v>
      </c>
      <c r="H22" s="55" t="s">
        <v>93</v>
      </c>
      <c r="J22" s="6">
        <f t="shared" si="1"/>
        <v>5.8362596332901112E-2</v>
      </c>
      <c r="K22" s="3">
        <v>0.04</v>
      </c>
      <c r="L22" s="21">
        <f t="shared" si="2"/>
        <v>-230200</v>
      </c>
      <c r="M22" s="7"/>
      <c r="N22" s="44">
        <v>-230000</v>
      </c>
      <c r="O22" s="23">
        <f t="shared" si="3"/>
        <v>4.0017130007394826E-2</v>
      </c>
      <c r="P22" s="15" t="s">
        <v>46</v>
      </c>
      <c r="Q22" s="55" t="s">
        <v>128</v>
      </c>
    </row>
    <row r="23" spans="1:17" s="55" customFormat="1" x14ac:dyDescent="0.2">
      <c r="A23" s="55" t="s">
        <v>74</v>
      </c>
      <c r="B23" s="14" t="s">
        <v>100</v>
      </c>
      <c r="C23" s="14" t="s">
        <v>118</v>
      </c>
      <c r="D23" s="48" t="str">
        <f t="shared" si="0"/>
        <v>OK</v>
      </c>
      <c r="E23" s="55" t="s">
        <v>84</v>
      </c>
      <c r="F23" s="8">
        <v>478750.23</v>
      </c>
      <c r="G23" s="55">
        <v>65101.542000000001</v>
      </c>
      <c r="H23" s="55" t="s">
        <v>93</v>
      </c>
      <c r="J23" s="6">
        <f t="shared" si="1"/>
        <v>3.8186505316492994E-2</v>
      </c>
      <c r="K23" s="3">
        <v>3.2000000000000001E-2</v>
      </c>
      <c r="L23" s="21">
        <f t="shared" si="2"/>
        <v>-77600</v>
      </c>
      <c r="M23" s="7"/>
      <c r="N23" s="44">
        <v>-80000</v>
      </c>
      <c r="O23" s="23">
        <f t="shared" si="3"/>
        <v>3.1805473551099507E-2</v>
      </c>
      <c r="P23" s="15" t="s">
        <v>46</v>
      </c>
      <c r="Q23" s="55" t="s">
        <v>128</v>
      </c>
    </row>
    <row r="24" spans="1:17" s="55" customFormat="1" x14ac:dyDescent="0.2">
      <c r="A24" s="55" t="s">
        <v>74</v>
      </c>
      <c r="B24" s="14" t="s">
        <v>106</v>
      </c>
      <c r="C24" s="14" t="s">
        <v>124</v>
      </c>
      <c r="D24" s="48" t="str">
        <f t="shared" si="0"/>
        <v>OK</v>
      </c>
      <c r="E24" s="55" t="s">
        <v>90</v>
      </c>
      <c r="F24" s="8">
        <v>725081.82</v>
      </c>
      <c r="G24" s="55">
        <v>658865.81000000006</v>
      </c>
      <c r="H24" s="55" t="s">
        <v>93</v>
      </c>
      <c r="J24" s="6">
        <f t="shared" si="1"/>
        <v>5.783462657411656E-2</v>
      </c>
      <c r="K24" s="3">
        <v>0.04</v>
      </c>
      <c r="L24" s="21">
        <f t="shared" si="2"/>
        <v>-223600</v>
      </c>
      <c r="M24" s="7"/>
      <c r="N24" s="44">
        <v>-220000</v>
      </c>
      <c r="O24" s="23">
        <f t="shared" si="3"/>
        <v>4.0286789219284462E-2</v>
      </c>
      <c r="P24" s="15" t="s">
        <v>46</v>
      </c>
      <c r="Q24" s="55" t="s">
        <v>128</v>
      </c>
    </row>
    <row r="25" spans="1:17" s="56" customFormat="1" x14ac:dyDescent="0.2">
      <c r="B25" s="14"/>
      <c r="C25" s="14"/>
      <c r="D25" s="48"/>
      <c r="F25" s="8"/>
      <c r="J25" s="6"/>
      <c r="K25" s="3"/>
      <c r="L25" s="21"/>
      <c r="M25" s="7"/>
      <c r="N25" s="44"/>
      <c r="O25" s="23"/>
      <c r="P25" s="15"/>
    </row>
    <row r="26" spans="1:17" s="56" customFormat="1" x14ac:dyDescent="0.2">
      <c r="B26" s="14"/>
      <c r="C26" s="14" t="s">
        <v>132</v>
      </c>
      <c r="E26" s="14" t="s">
        <v>133</v>
      </c>
      <c r="F26" s="8">
        <v>0</v>
      </c>
      <c r="J26" s="6">
        <f>F26/F$42</f>
        <v>0</v>
      </c>
      <c r="K26" s="3">
        <v>0.04</v>
      </c>
      <c r="L26" s="21">
        <f t="shared" ref="L26:L35" si="4">ROUND((K26-J26)*F$42,-2)</f>
        <v>501500</v>
      </c>
      <c r="M26" s="7"/>
      <c r="N26" s="44">
        <v>72000</v>
      </c>
      <c r="O26" s="23">
        <f t="shared" ref="O26:O35" si="5">IF(OR(N26="",F26=""),J26,(F26+N26)/$F$42)</f>
        <v>5.7429285888541412E-3</v>
      </c>
      <c r="P26" s="15" t="s">
        <v>50</v>
      </c>
      <c r="Q26" s="56" t="s">
        <v>128</v>
      </c>
    </row>
    <row r="27" spans="1:17" s="56" customFormat="1" x14ac:dyDescent="0.2">
      <c r="B27" s="14"/>
      <c r="C27" s="14" t="s">
        <v>134</v>
      </c>
      <c r="D27" s="48"/>
      <c r="E27" s="57" t="s">
        <v>135</v>
      </c>
      <c r="F27" s="8">
        <v>0</v>
      </c>
      <c r="J27" s="6">
        <f>F27/F$42</f>
        <v>0</v>
      </c>
      <c r="K27" s="3">
        <v>0.05</v>
      </c>
      <c r="L27" s="21">
        <f t="shared" si="4"/>
        <v>626900</v>
      </c>
      <c r="M27" s="7"/>
      <c r="N27" s="44">
        <v>630000</v>
      </c>
      <c r="O27" s="23">
        <f t="shared" si="5"/>
        <v>5.0250625152473735E-2</v>
      </c>
      <c r="P27" s="15" t="s">
        <v>136</v>
      </c>
      <c r="Q27" s="56" t="s">
        <v>154</v>
      </c>
    </row>
    <row r="28" spans="1:17" s="56" customFormat="1" x14ac:dyDescent="0.2">
      <c r="B28" s="14"/>
      <c r="C28" s="14" t="s">
        <v>137</v>
      </c>
      <c r="D28" s="57"/>
      <c r="E28" s="14" t="s">
        <v>138</v>
      </c>
      <c r="F28" s="8">
        <v>0</v>
      </c>
      <c r="J28" s="6">
        <v>0</v>
      </c>
      <c r="K28" s="3">
        <v>0.05</v>
      </c>
      <c r="L28" s="21">
        <f t="shared" si="4"/>
        <v>626900</v>
      </c>
      <c r="M28" s="7"/>
      <c r="N28" s="44">
        <v>216000</v>
      </c>
      <c r="O28" s="23">
        <f t="shared" si="5"/>
        <v>1.7228785766562425E-2</v>
      </c>
      <c r="P28" s="15" t="s">
        <v>136</v>
      </c>
      <c r="Q28" s="56" t="s">
        <v>128</v>
      </c>
    </row>
    <row r="29" spans="1:17" s="56" customFormat="1" x14ac:dyDescent="0.2">
      <c r="B29" s="14"/>
      <c r="C29" s="14" t="s">
        <v>139</v>
      </c>
      <c r="E29" s="14" t="s">
        <v>140</v>
      </c>
      <c r="F29" s="8">
        <v>0</v>
      </c>
      <c r="J29" s="6">
        <v>0</v>
      </c>
      <c r="K29" s="3">
        <v>0.05</v>
      </c>
      <c r="L29" s="21">
        <f t="shared" si="4"/>
        <v>626900</v>
      </c>
      <c r="M29" s="7"/>
      <c r="N29" s="44">
        <v>630000</v>
      </c>
      <c r="O29" s="23">
        <f t="shared" si="5"/>
        <v>5.0250625152473735E-2</v>
      </c>
      <c r="P29" s="15" t="s">
        <v>136</v>
      </c>
      <c r="Q29" s="56" t="s">
        <v>128</v>
      </c>
    </row>
    <row r="30" spans="1:17" x14ac:dyDescent="0.2">
      <c r="C30" s="14" t="s">
        <v>141</v>
      </c>
      <c r="D30" s="57"/>
      <c r="E30" s="14" t="s">
        <v>142</v>
      </c>
      <c r="F30" s="8">
        <v>0</v>
      </c>
      <c r="G30" s="56"/>
      <c r="H30" s="56"/>
      <c r="I30" s="56"/>
      <c r="J30" s="6">
        <v>0</v>
      </c>
      <c r="K30" s="3">
        <v>0.08</v>
      </c>
      <c r="L30" s="21">
        <f t="shared" si="4"/>
        <v>1003000</v>
      </c>
      <c r="N30" s="44">
        <v>1003000</v>
      </c>
      <c r="O30" s="23">
        <f t="shared" si="5"/>
        <v>8.0002185758620892E-2</v>
      </c>
      <c r="P30" s="15" t="s">
        <v>136</v>
      </c>
      <c r="Q30" s="5" t="s">
        <v>154</v>
      </c>
    </row>
    <row r="31" spans="1:17" s="56" customFormat="1" x14ac:dyDescent="0.2">
      <c r="B31" s="14"/>
      <c r="C31" s="14" t="s">
        <v>143</v>
      </c>
      <c r="D31" s="57"/>
      <c r="E31" s="14" t="s">
        <v>144</v>
      </c>
      <c r="F31" s="8">
        <v>0</v>
      </c>
      <c r="J31" s="6">
        <v>0</v>
      </c>
      <c r="K31" s="3">
        <v>0.05</v>
      </c>
      <c r="L31" s="21">
        <f t="shared" si="4"/>
        <v>626900</v>
      </c>
      <c r="M31" s="7"/>
      <c r="N31" s="44">
        <v>112000</v>
      </c>
      <c r="O31" s="23">
        <f t="shared" si="5"/>
        <v>8.9334444715508873E-3</v>
      </c>
      <c r="P31" s="15" t="s">
        <v>145</v>
      </c>
      <c r="Q31" s="56" t="s">
        <v>154</v>
      </c>
    </row>
    <row r="32" spans="1:17" s="56" customFormat="1" x14ac:dyDescent="0.2">
      <c r="B32" s="14"/>
      <c r="C32" s="14" t="s">
        <v>146</v>
      </c>
      <c r="D32" s="57"/>
      <c r="E32" s="56" t="s">
        <v>147</v>
      </c>
      <c r="F32" s="8">
        <v>0</v>
      </c>
      <c r="J32" s="6">
        <v>0</v>
      </c>
      <c r="K32" s="3">
        <v>4.8000000000000001E-2</v>
      </c>
      <c r="L32" s="21">
        <f t="shared" si="4"/>
        <v>601800</v>
      </c>
      <c r="M32" s="7"/>
      <c r="N32" s="44">
        <v>602000</v>
      </c>
      <c r="O32" s="23">
        <f t="shared" si="5"/>
        <v>4.8017264034586019E-2</v>
      </c>
      <c r="P32" s="15" t="s">
        <v>46</v>
      </c>
      <c r="Q32" s="56" t="s">
        <v>128</v>
      </c>
    </row>
    <row r="33" spans="1:17" s="56" customFormat="1" x14ac:dyDescent="0.2">
      <c r="B33" s="14"/>
      <c r="C33" s="14" t="s">
        <v>148</v>
      </c>
      <c r="E33" s="56" t="s">
        <v>149</v>
      </c>
      <c r="F33" s="8">
        <v>0</v>
      </c>
      <c r="J33" s="6">
        <v>0</v>
      </c>
      <c r="K33" s="3">
        <v>3.7499999999999999E-2</v>
      </c>
      <c r="L33" s="21">
        <f t="shared" si="4"/>
        <v>470100</v>
      </c>
      <c r="M33" s="17"/>
      <c r="N33" s="44">
        <v>470000</v>
      </c>
      <c r="O33" s="23">
        <f t="shared" si="5"/>
        <v>3.7488561621686754E-2</v>
      </c>
      <c r="P33" s="15" t="s">
        <v>49</v>
      </c>
      <c r="Q33" s="56" t="s">
        <v>128</v>
      </c>
    </row>
    <row r="34" spans="1:17" s="56" customFormat="1" x14ac:dyDescent="0.2">
      <c r="B34" s="14"/>
      <c r="C34" s="14" t="s">
        <v>150</v>
      </c>
      <c r="E34" s="57" t="s">
        <v>151</v>
      </c>
      <c r="F34" s="8">
        <v>0</v>
      </c>
      <c r="J34" s="6">
        <v>0</v>
      </c>
      <c r="K34" s="3">
        <v>7.4999999999999997E-2</v>
      </c>
      <c r="L34" s="21">
        <f t="shared" si="4"/>
        <v>940300</v>
      </c>
      <c r="M34" s="17"/>
      <c r="N34" s="44">
        <v>940000</v>
      </c>
      <c r="O34" s="23">
        <f t="shared" si="5"/>
        <v>7.4977123243373509E-2</v>
      </c>
      <c r="P34" s="15" t="s">
        <v>49</v>
      </c>
      <c r="Q34" s="56" t="s">
        <v>128</v>
      </c>
    </row>
    <row r="35" spans="1:17" s="56" customFormat="1" x14ac:dyDescent="0.2">
      <c r="B35" s="14"/>
      <c r="C35" s="14" t="s">
        <v>152</v>
      </c>
      <c r="D35" s="57"/>
      <c r="E35" s="56" t="s">
        <v>153</v>
      </c>
      <c r="F35" s="8">
        <v>0</v>
      </c>
      <c r="J35" s="6">
        <v>0</v>
      </c>
      <c r="K35" s="3">
        <v>3.7499999999999999E-2</v>
      </c>
      <c r="L35" s="21">
        <f t="shared" si="4"/>
        <v>470100</v>
      </c>
      <c r="M35" s="17"/>
      <c r="N35" s="44">
        <v>470000</v>
      </c>
      <c r="O35" s="23">
        <f t="shared" si="5"/>
        <v>3.7488561621686754E-2</v>
      </c>
      <c r="P35" s="15" t="s">
        <v>49</v>
      </c>
      <c r="Q35" s="56" t="s">
        <v>128</v>
      </c>
    </row>
    <row r="36" spans="1:17" s="56" customFormat="1" x14ac:dyDescent="0.2">
      <c r="B36" s="14"/>
      <c r="C36" s="14"/>
      <c r="D36" s="14"/>
      <c r="E36" s="16"/>
      <c r="F36" s="8"/>
      <c r="J36" s="6"/>
      <c r="K36" s="4"/>
      <c r="L36" s="24"/>
      <c r="M36" s="17"/>
      <c r="N36" s="24"/>
      <c r="O36" s="15"/>
    </row>
    <row r="37" spans="1:17" s="56" customFormat="1" x14ac:dyDescent="0.2">
      <c r="B37" s="14"/>
      <c r="C37" s="14"/>
      <c r="D37" s="14"/>
      <c r="E37" s="16"/>
      <c r="F37" s="8"/>
      <c r="J37" s="6"/>
      <c r="K37" s="4"/>
      <c r="L37" s="24"/>
      <c r="M37" s="17"/>
      <c r="N37" s="24"/>
      <c r="O37" s="15"/>
    </row>
    <row r="38" spans="1:17" ht="13.5" customHeight="1" thickBot="1" x14ac:dyDescent="0.25">
      <c r="E38" s="16"/>
      <c r="K38" s="4"/>
      <c r="L38" s="24"/>
      <c r="M38" s="17"/>
      <c r="N38" s="24"/>
      <c r="O38" s="15"/>
    </row>
    <row r="39" spans="1:17" ht="13.5" customHeight="1" thickBot="1" x14ac:dyDescent="0.25">
      <c r="B39" s="36" t="s">
        <v>52</v>
      </c>
      <c r="C39" s="47"/>
      <c r="D39" s="47"/>
      <c r="E39" s="37"/>
      <c r="F39" s="18">
        <v>0</v>
      </c>
      <c r="J39" s="38" t="s">
        <v>53</v>
      </c>
      <c r="K39" s="58" t="s">
        <v>35</v>
      </c>
      <c r="L39" s="59"/>
      <c r="M39" s="39" t="s">
        <v>54</v>
      </c>
    </row>
    <row r="40" spans="1:17" x14ac:dyDescent="0.2">
      <c r="A40" s="5" t="s">
        <v>44</v>
      </c>
      <c r="B40" s="62" t="s">
        <v>55</v>
      </c>
      <c r="C40" s="63"/>
      <c r="D40" s="63"/>
      <c r="E40" s="63"/>
      <c r="F40" s="35">
        <f>VALU_JC+VALU_XA-VALU_BV+$F$39</f>
        <v>245603.41000000201</v>
      </c>
      <c r="G40" s="33">
        <v>164540.31</v>
      </c>
      <c r="H40" s="34">
        <v>12537157.460000001</v>
      </c>
      <c r="I40" s="34">
        <v>12456094.359999999</v>
      </c>
      <c r="J40" s="40">
        <f>F40/F42</f>
        <v>1.9590039511237178E-2</v>
      </c>
      <c r="K40" s="41">
        <v>0.12</v>
      </c>
      <c r="L40" s="42">
        <f>F40-SUM(L7:L38)</f>
        <v>2507303.410000002</v>
      </c>
      <c r="M40" s="43">
        <f>F40-SUM(N7:N39)</f>
        <v>1058350.7800000021</v>
      </c>
      <c r="O40" s="23">
        <f>$M$40/$F$42</f>
        <v>8.4417124326362392E-2</v>
      </c>
      <c r="P40" s="5" t="s">
        <v>56</v>
      </c>
    </row>
    <row r="41" spans="1:17" x14ac:dyDescent="0.2">
      <c r="F41" s="27"/>
      <c r="G41" s="27"/>
      <c r="J41" s="23"/>
    </row>
    <row r="42" spans="1:17" x14ac:dyDescent="0.2">
      <c r="B42" s="64" t="s">
        <v>57</v>
      </c>
      <c r="C42" s="61"/>
      <c r="D42" s="61"/>
      <c r="E42" s="61"/>
      <c r="F42" s="28">
        <f>SUM(SUMIF(A:A,{"S","MF"},F:F))</f>
        <v>12537157.460000005</v>
      </c>
      <c r="I42" s="29">
        <f>MAX(J7:J40)</f>
        <v>8.8670657886113807E-2</v>
      </c>
      <c r="J42" s="23"/>
      <c r="K42" s="6">
        <f>SUM(K7:K41)</f>
        <v>0.91999999999999993</v>
      </c>
    </row>
    <row r="44" spans="1:17" x14ac:dyDescent="0.2">
      <c r="B44" s="60" t="str">
        <f>IF(I42&gt;0.2,"One or more of the holdings is currently over 20% of the portfolio value, please record the breach and report it to a fund manager",IF(I42&gt;0.15,"One or more of the holdings is over 15% of the portfolio value, please inform a fund manager",""))</f>
        <v/>
      </c>
      <c r="C44" s="61"/>
      <c r="D44" s="61"/>
      <c r="E44" s="61"/>
      <c r="F44" s="61"/>
      <c r="G44" s="61"/>
      <c r="H44" s="61"/>
      <c r="I44" s="61"/>
      <c r="J44" s="61"/>
      <c r="K44" s="11" t="s">
        <v>58</v>
      </c>
      <c r="L44" s="25">
        <f>SUM(L7:L35)</f>
        <v>-2261700</v>
      </c>
      <c r="M44" s="25">
        <f>SUM(N7:N35)</f>
        <v>-812747.37000000011</v>
      </c>
      <c r="N44" s="25"/>
    </row>
    <row r="45" spans="1:17" x14ac:dyDescent="0.2">
      <c r="B45" s="61"/>
      <c r="C45" s="61"/>
      <c r="D45" s="61"/>
      <c r="E45" s="61"/>
      <c r="F45" s="61"/>
      <c r="G45" s="61"/>
      <c r="H45" s="61"/>
      <c r="I45" s="61"/>
      <c r="J45" s="61"/>
      <c r="K45" s="6" t="s">
        <v>59</v>
      </c>
      <c r="L45" s="23">
        <f>($F$40-L44)/$F$42</f>
        <v>0.1999897838086179</v>
      </c>
      <c r="M45" s="6">
        <f>($F$40-M44)/$F$42</f>
        <v>8.4417124326362392E-2</v>
      </c>
      <c r="N45" s="23"/>
    </row>
    <row r="46" spans="1:17" x14ac:dyDescent="0.2">
      <c r="B46" s="61"/>
      <c r="C46" s="61"/>
      <c r="D46" s="61"/>
      <c r="E46" s="61"/>
      <c r="F46" s="61"/>
      <c r="G46" s="61"/>
      <c r="H46" s="61"/>
      <c r="I46" s="61"/>
      <c r="J46" s="61"/>
    </row>
    <row r="47" spans="1:17" ht="32.25" customHeight="1" x14ac:dyDescent="0.2">
      <c r="E47" s="19" t="s">
        <v>60</v>
      </c>
      <c r="F47" s="12" t="s">
        <v>61</v>
      </c>
      <c r="G47" s="19"/>
      <c r="H47" s="19"/>
      <c r="I47" s="19"/>
      <c r="J47" s="20" t="s">
        <v>62</v>
      </c>
      <c r="K47" s="20" t="s">
        <v>63</v>
      </c>
      <c r="L47" s="22" t="s">
        <v>64</v>
      </c>
      <c r="M47" s="13"/>
      <c r="N47" s="22"/>
    </row>
    <row r="48" spans="1:17" x14ac:dyDescent="0.2">
      <c r="E48" s="32" t="s">
        <v>43</v>
      </c>
      <c r="F48" s="27">
        <f>SUMIF(P:P,E48,L:L)</f>
        <v>206200</v>
      </c>
      <c r="G48" s="27">
        <f>SUMIF(P:P,F48,G:G)+SUMIF(P:P,F48,O:O)</f>
        <v>0</v>
      </c>
      <c r="H48" s="27">
        <f>SUMIF(Q:Q,G48,H:H)+SUMIF(Q:Q,G48,P:P)</f>
        <v>0</v>
      </c>
      <c r="I48" s="27">
        <f>SUMIF(R:R,H48,I:I)+SUMIF(R:R,H48,Q:Q)</f>
        <v>0</v>
      </c>
      <c r="J48" s="29">
        <f>SUMIF(P:P,E48,K:K)</f>
        <v>0.32</v>
      </c>
      <c r="K48" s="29">
        <f>SUMIF(P:P,E48,$J:$J)</f>
        <v>0.3035733755552591</v>
      </c>
      <c r="L48" s="23">
        <f>SUMIF(P:P,E48,O:O)</f>
        <v>0.31771709198904791</v>
      </c>
    </row>
    <row r="49" spans="5:12" x14ac:dyDescent="0.2">
      <c r="E49" s="32" t="s">
        <v>48</v>
      </c>
      <c r="F49" s="27">
        <f>SUMIF(P:P,E49,L:L)</f>
        <v>626900</v>
      </c>
      <c r="J49" s="29">
        <f>SUMIF(P:P,E49,K:K)</f>
        <v>0.05</v>
      </c>
      <c r="K49" s="29">
        <f>SUMIF(P:P,E49,$J:$J)</f>
        <v>0</v>
      </c>
      <c r="L49" s="23">
        <f>SUMIF(P:P,E49,O:O)</f>
        <v>8.9334444715508873E-3</v>
      </c>
    </row>
    <row r="50" spans="5:12" x14ac:dyDescent="0.2">
      <c r="E50" s="46" t="s">
        <v>51</v>
      </c>
      <c r="F50" s="27">
        <f>SUMIF(P:P,E50,L:L)</f>
        <v>-553500</v>
      </c>
      <c r="J50" s="29">
        <f>SUMIF(P:P,E50,K:K)</f>
        <v>0</v>
      </c>
      <c r="K50" s="29">
        <f>SUMIF(P:P,E50,$J:$J)</f>
        <v>4.4145966242016062E-2</v>
      </c>
      <c r="L50" s="23">
        <f>SUMIF(P:P,E50,O:O)</f>
        <v>2.2609984033813032E-2</v>
      </c>
    </row>
    <row r="51" spans="5:12" x14ac:dyDescent="0.2">
      <c r="E51" s="15" t="s">
        <v>47</v>
      </c>
      <c r="F51" s="27">
        <f>SUMIF(P:P,E51,L:L)</f>
        <v>-1409900</v>
      </c>
      <c r="J51" s="29">
        <f>SUMIF(P:P,E51,K:K)</f>
        <v>0</v>
      </c>
      <c r="K51" s="29">
        <f>SUMIF(P:P,E51,$J:$J)</f>
        <v>0.11245617712772984</v>
      </c>
      <c r="L51" s="23">
        <f>SUMIF(P:P,E51,O:O)</f>
        <v>7.5127141300177905E-2</v>
      </c>
    </row>
    <row r="52" spans="5:12" x14ac:dyDescent="0.2">
      <c r="E52" s="9" t="s">
        <v>65</v>
      </c>
      <c r="F52" s="28">
        <f>SUM(F48:F50)</f>
        <v>279600</v>
      </c>
      <c r="G52" s="30"/>
      <c r="H52" s="30"/>
      <c r="I52" s="30"/>
      <c r="J52" s="26">
        <f>SUM(J48:J51)</f>
        <v>0.37</v>
      </c>
      <c r="K52" s="26">
        <f>SUM(K48:K51)</f>
        <v>0.46017551892500497</v>
      </c>
      <c r="L52" s="26">
        <f>SUM(L48:L51)</f>
        <v>0.4243876617945897</v>
      </c>
    </row>
    <row r="53" spans="5:12" x14ac:dyDescent="0.2">
      <c r="F53" s="27"/>
      <c r="J53" s="23"/>
      <c r="K53" s="23"/>
    </row>
    <row r="54" spans="5:12" x14ac:dyDescent="0.2">
      <c r="E54" s="9" t="s">
        <v>66</v>
      </c>
      <c r="F54" s="27"/>
      <c r="J54" s="23"/>
      <c r="K54" s="23"/>
    </row>
    <row r="55" spans="5:12" x14ac:dyDescent="0.2">
      <c r="E55" s="32" t="s">
        <v>46</v>
      </c>
      <c r="F55" s="27">
        <f t="shared" ref="F55:F64" si="6">SUMIF(P:P,E55,L:L)</f>
        <v>-1076700</v>
      </c>
      <c r="J55" s="29">
        <f t="shared" ref="J55:J64" si="7">SUMIF(P:P,E55,K:K)</f>
        <v>0.16000000000000003</v>
      </c>
      <c r="K55" s="29">
        <f t="shared" ref="K55:K64" si="8">SUMIF(P:P,E55,$J:$J)</f>
        <v>0.24587773582928255</v>
      </c>
      <c r="L55" s="23">
        <f t="shared" ref="L55:L64" si="9">SUMIF(P:P,E55,O:O)</f>
        <v>0.16012665681236482</v>
      </c>
    </row>
    <row r="56" spans="5:12" x14ac:dyDescent="0.2">
      <c r="E56" s="32" t="s">
        <v>67</v>
      </c>
      <c r="F56" s="27">
        <f t="shared" si="6"/>
        <v>0</v>
      </c>
      <c r="J56" s="29">
        <f t="shared" si="7"/>
        <v>0</v>
      </c>
      <c r="K56" s="29">
        <f t="shared" si="8"/>
        <v>0</v>
      </c>
      <c r="L56" s="23">
        <f t="shared" si="9"/>
        <v>0</v>
      </c>
    </row>
    <row r="57" spans="5:12" x14ac:dyDescent="0.2">
      <c r="E57" s="32" t="s">
        <v>50</v>
      </c>
      <c r="F57" s="27">
        <f t="shared" si="6"/>
        <v>-146500</v>
      </c>
      <c r="J57" s="29">
        <f t="shared" si="7"/>
        <v>0.04</v>
      </c>
      <c r="K57" s="29">
        <f t="shared" si="8"/>
        <v>5.1683052722861764E-2</v>
      </c>
      <c r="L57" s="23">
        <f t="shared" si="9"/>
        <v>5.0247320575648229E-2</v>
      </c>
    </row>
    <row r="58" spans="5:12" x14ac:dyDescent="0.2">
      <c r="E58" s="32" t="s">
        <v>45</v>
      </c>
      <c r="F58" s="27">
        <f t="shared" si="6"/>
        <v>8400</v>
      </c>
      <c r="J58" s="29">
        <f t="shared" si="7"/>
        <v>0.03</v>
      </c>
      <c r="K58" s="29">
        <f t="shared" si="8"/>
        <v>2.9326618188617683E-2</v>
      </c>
      <c r="L58" s="23">
        <f t="shared" si="9"/>
        <v>2.9326618188617683E-2</v>
      </c>
    </row>
    <row r="59" spans="5:12" x14ac:dyDescent="0.2">
      <c r="E59" s="32" t="s">
        <v>49</v>
      </c>
      <c r="F59" s="27">
        <f t="shared" si="6"/>
        <v>1880500</v>
      </c>
      <c r="J59" s="29">
        <f t="shared" si="7"/>
        <v>0.15</v>
      </c>
      <c r="K59" s="29">
        <f t="shared" si="8"/>
        <v>0</v>
      </c>
      <c r="L59" s="23">
        <f t="shared" si="9"/>
        <v>0.14995424648674702</v>
      </c>
    </row>
    <row r="60" spans="5:12" x14ac:dyDescent="0.2">
      <c r="E60" s="32" t="s">
        <v>42</v>
      </c>
      <c r="F60" s="27">
        <f t="shared" si="6"/>
        <v>-1272000</v>
      </c>
      <c r="J60" s="29">
        <f t="shared" si="7"/>
        <v>0</v>
      </c>
      <c r="K60" s="29">
        <f t="shared" si="8"/>
        <v>0.10146132837993402</v>
      </c>
      <c r="L60" s="23">
        <f t="shared" si="9"/>
        <v>4.9615445286111913E-2</v>
      </c>
    </row>
    <row r="61" spans="5:12" x14ac:dyDescent="0.2">
      <c r="E61" s="32" t="s">
        <v>41</v>
      </c>
      <c r="F61" s="27">
        <f t="shared" si="6"/>
        <v>-501000</v>
      </c>
      <c r="J61" s="29">
        <f t="shared" si="7"/>
        <v>0</v>
      </c>
      <c r="K61" s="29">
        <f t="shared" si="8"/>
        <v>3.9960779913503601E-2</v>
      </c>
      <c r="L61" s="23">
        <f t="shared" si="9"/>
        <v>0</v>
      </c>
    </row>
    <row r="62" spans="5:12" x14ac:dyDescent="0.2">
      <c r="E62" s="46" t="s">
        <v>68</v>
      </c>
      <c r="F62" s="27">
        <f t="shared" si="6"/>
        <v>0</v>
      </c>
      <c r="J62" s="29">
        <f t="shared" si="7"/>
        <v>0</v>
      </c>
      <c r="K62" s="29">
        <f t="shared" si="8"/>
        <v>0</v>
      </c>
      <c r="L62" s="23">
        <f t="shared" si="9"/>
        <v>0</v>
      </c>
    </row>
    <row r="63" spans="5:12" x14ac:dyDescent="0.2">
      <c r="E63" s="46" t="s">
        <v>69</v>
      </c>
      <c r="F63" s="27">
        <f t="shared" si="6"/>
        <v>0</v>
      </c>
      <c r="J63" s="29">
        <f t="shared" si="7"/>
        <v>0</v>
      </c>
      <c r="K63" s="29">
        <f t="shared" si="8"/>
        <v>0</v>
      </c>
      <c r="L63" s="23">
        <f t="shared" si="9"/>
        <v>0</v>
      </c>
    </row>
    <row r="64" spans="5:12" x14ac:dyDescent="0.2">
      <c r="E64" s="32" t="s">
        <v>70</v>
      </c>
      <c r="F64" s="27">
        <f t="shared" si="6"/>
        <v>-24100</v>
      </c>
      <c r="J64" s="29">
        <f t="shared" si="7"/>
        <v>0.05</v>
      </c>
      <c r="K64" s="29">
        <f t="shared" si="8"/>
        <v>5.1924926529557977E-2</v>
      </c>
      <c r="L64" s="23">
        <f t="shared" si="9"/>
        <v>5.1924926529557977E-2</v>
      </c>
    </row>
    <row r="65" spans="5:12" x14ac:dyDescent="0.2">
      <c r="E65" s="9" t="s">
        <v>71</v>
      </c>
      <c r="F65" s="28">
        <f>SUM(F55:F64)</f>
        <v>-1131400</v>
      </c>
      <c r="G65" s="30"/>
      <c r="H65" s="30"/>
      <c r="I65" s="30"/>
      <c r="J65" s="31">
        <f>SUM(J55:J64)</f>
        <v>0.43</v>
      </c>
      <c r="K65" s="26">
        <f>SUM(K55:K64)</f>
        <v>0.52023444156375764</v>
      </c>
      <c r="L65" s="26">
        <f>SUM(L55:L64)</f>
        <v>0.49119521387904763</v>
      </c>
    </row>
    <row r="66" spans="5:12" x14ac:dyDescent="0.2">
      <c r="F66" s="27"/>
      <c r="J66" s="23"/>
      <c r="K66" s="23"/>
    </row>
    <row r="67" spans="5:12" x14ac:dyDescent="0.2">
      <c r="E67" s="5" t="s">
        <v>56</v>
      </c>
      <c r="F67" s="27">
        <f>SUMIF(O:O,E67,F:F)+SUMIF(O:O,E67,L:L)</f>
        <v>0</v>
      </c>
      <c r="J67" s="29">
        <f>SUMIF(P:P,E67,K:K)</f>
        <v>0.12</v>
      </c>
      <c r="K67" s="29">
        <f>SUMIF(P:P,E67,J:J)</f>
        <v>1.9590039511237178E-2</v>
      </c>
      <c r="L67" s="23">
        <f>SUMIF(P:P,E67,O:O)</f>
        <v>8.4417124326362392E-2</v>
      </c>
    </row>
    <row r="68" spans="5:12" x14ac:dyDescent="0.2">
      <c r="F68" s="23">
        <f>SUM(F52+F65+F67)</f>
        <v>-851800</v>
      </c>
      <c r="J68" s="23">
        <f>SUM(J52+J65+J67)</f>
        <v>0.92</v>
      </c>
      <c r="K68" s="23">
        <f>SUM(K52+K65+K67)</f>
        <v>0.99999999999999978</v>
      </c>
      <c r="L68" s="23">
        <f>SUM(L52+L65+L67)</f>
        <v>0.99999999999999967</v>
      </c>
    </row>
  </sheetData>
  <autoFilter ref="A6:V6" xr:uid="{00000000-0001-0000-0200-000000000000}">
    <sortState xmlns:xlrd2="http://schemas.microsoft.com/office/spreadsheetml/2017/richdata2" ref="A7:V24">
      <sortCondition ref="P6"/>
    </sortState>
  </autoFilter>
  <mergeCells count="7">
    <mergeCell ref="K39:L39"/>
    <mergeCell ref="B44:J46"/>
    <mergeCell ref="B40:E40"/>
    <mergeCell ref="B42:E42"/>
    <mergeCell ref="B1:J1"/>
    <mergeCell ref="B2:J2"/>
    <mergeCell ref="B3:J3"/>
  </mergeCells>
  <conditionalFormatting sqref="B44:J46">
    <cfRule type="expression" dxfId="16" priority="161" stopIfTrue="1">
      <formula>$I42&gt;0.2</formula>
    </cfRule>
  </conditionalFormatting>
  <conditionalFormatting sqref="K36:K39">
    <cfRule type="expression" dxfId="15" priority="86" stopIfTrue="1">
      <formula>OR(J36-K36&gt;=0.005,J36-K36&lt;=-0.005)</formula>
    </cfRule>
  </conditionalFormatting>
  <conditionalFormatting sqref="K7">
    <cfRule type="expression" dxfId="14" priority="70" stopIfTrue="1">
      <formula>OR(J7-K7&gt;=0.005,J7-K7&lt;=-0.005)</formula>
    </cfRule>
  </conditionalFormatting>
  <conditionalFormatting sqref="O7">
    <cfRule type="expression" dxfId="13" priority="64" stopIfTrue="1">
      <formula>OR(O7-K7&gt;=0.005,O7-K7&lt;=-0.005)</formula>
    </cfRule>
  </conditionalFormatting>
  <conditionalFormatting sqref="E64 L48:L51">
    <cfRule type="expression" dxfId="12" priority="57" stopIfTrue="1">
      <formula>OR($L48-$J48&gt;=0.005,$L48-$J48&lt;=-0.005)</formula>
    </cfRule>
  </conditionalFormatting>
  <conditionalFormatting sqref="E48:E49">
    <cfRule type="expression" dxfId="11" priority="55" stopIfTrue="1">
      <formula>OR($L48-$J48&gt;=0.005,$L48-$J48&lt;=-0.005)</formula>
    </cfRule>
  </conditionalFormatting>
  <conditionalFormatting sqref="E55:E61">
    <cfRule type="expression" dxfId="10" priority="53" stopIfTrue="1">
      <formula>OR($L55-$J55&gt;=0.005,$L55-$J55&lt;=-0.005)</formula>
    </cfRule>
  </conditionalFormatting>
  <conditionalFormatting sqref="U5">
    <cfRule type="expression" dxfId="9" priority="43" stopIfTrue="1">
      <formula>$M5&lt;&gt;""</formula>
    </cfRule>
  </conditionalFormatting>
  <conditionalFormatting sqref="E30:E31 B36:D38 B30:C35">
    <cfRule type="expression" dxfId="8" priority="42" stopIfTrue="1">
      <formula>AND(OR($B30=$V$5,$B30=$V$6),$M30&lt;&gt;"")</formula>
    </cfRule>
  </conditionalFormatting>
  <conditionalFormatting sqref="F31:F38">
    <cfRule type="expression" dxfId="7" priority="40" stopIfTrue="1">
      <formula>AND(OR($B31=$V$5,$B31=$V$6),$M31&lt;&gt;"")</formula>
    </cfRule>
  </conditionalFormatting>
  <conditionalFormatting sqref="E7 N7 E52:E192 N36:N192 E30:E50">
    <cfRule type="expression" dxfId="6" priority="162" stopIfTrue="1">
      <formula>$N7&lt;&gt;""</formula>
    </cfRule>
  </conditionalFormatting>
  <conditionalFormatting sqref="B7:E25 B26:C26 E26 B27:E27 B28:C29 E28:E29">
    <cfRule type="expression" dxfId="5" priority="164" stopIfTrue="1">
      <formula>AND(OR($B7=$V$5,$B7=$V$6),$N7&lt;&gt;"")</formula>
    </cfRule>
  </conditionalFormatting>
  <conditionalFormatting sqref="F7:F30">
    <cfRule type="expression" dxfId="4" priority="166" stopIfTrue="1">
      <formula>AND(OR($B7=$V$5,$B7=$V$6),$N7&lt;&gt;"")</formula>
    </cfRule>
  </conditionalFormatting>
  <conditionalFormatting sqref="L55:L64">
    <cfRule type="expression" dxfId="3" priority="27" stopIfTrue="1">
      <formula>OR($L55-$J55&gt;=0.005,$L55-$J55&lt;=-0.005)</formula>
    </cfRule>
  </conditionalFormatting>
  <conditionalFormatting sqref="K8:K35">
    <cfRule type="expression" dxfId="2" priority="3" stopIfTrue="1">
      <formula>OR(J8-K8&gt;=0.005,J8-K8&lt;=-0.005)</formula>
    </cfRule>
  </conditionalFormatting>
  <conditionalFormatting sqref="O8:O35">
    <cfRule type="expression" dxfId="1" priority="2" stopIfTrue="1">
      <formula>OR(O8-K8&gt;=0.005,O8-K8&lt;=-0.005)</formula>
    </cfRule>
  </conditionalFormatting>
  <conditionalFormatting sqref="E8:E29 N8:N35">
    <cfRule type="expression" dxfId="0" priority="4" stopIfTrue="1">
      <formula>$N8&lt;&gt;""</formula>
    </cfRule>
  </conditionalFormatting>
  <pageMargins left="0.75" right="0.75" top="1" bottom="1" header="0.5" footer="0.5"/>
  <pageSetup paperSize="9" scale="79" orientation="landscape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IOControl</vt:lpstr>
      <vt:lpstr>APOLLO_LINKS</vt:lpstr>
      <vt:lpstr>Rebalancer</vt:lpstr>
      <vt:lpstr>DIST_2C_COL</vt:lpstr>
      <vt:lpstr>DIST_AG_COL</vt:lpstr>
      <vt:lpstr>DIST_CV_COL</vt:lpstr>
      <vt:lpstr>DIST_D1_COL</vt:lpstr>
      <vt:lpstr>DIST_DETAIL_ROW</vt:lpstr>
      <vt:lpstr>DIST_INSERTED_ROWS</vt:lpstr>
      <vt:lpstr>DIST_LC_COL</vt:lpstr>
      <vt:lpstr>DIST_NM_COL</vt:lpstr>
      <vt:lpstr>DIST_REQ_ACCOUNT</vt:lpstr>
      <vt:lpstr>DIST_REQ_DATE</vt:lpstr>
      <vt:lpstr>DIST_REQ_FILTER_CODE_1</vt:lpstr>
      <vt:lpstr>DIST_REQ_FILTER_CODE_2</vt:lpstr>
      <vt:lpstr>DIST_REQ_FILTER_OPERAND_1</vt:lpstr>
      <vt:lpstr>DIST_REQ_FILTER_OPERAND_2</vt:lpstr>
      <vt:lpstr>DIST_REQ_FILTER_VALUE_1</vt:lpstr>
      <vt:lpstr>DIST_REQ_FILTER_VALUE_2</vt:lpstr>
      <vt:lpstr>DIST_REQ_SCTY_ONLY</vt:lpstr>
      <vt:lpstr>DIST_SN_COL</vt:lpstr>
      <vt:lpstr>DIST_U5_COL</vt:lpstr>
      <vt:lpstr>IO_DATA</vt:lpstr>
      <vt:lpstr>IO_DATA2</vt:lpstr>
      <vt:lpstr>IO_REPORT_TYPE</vt:lpstr>
      <vt:lpstr>IO_REPORT_TYPE2</vt:lpstr>
      <vt:lpstr>PARM_Account</vt:lpstr>
      <vt:lpstr>PARM_Date</vt:lpstr>
      <vt:lpstr>Rebalancer!Print_Area</vt:lpstr>
      <vt:lpstr>VALU_BV</vt:lpstr>
      <vt:lpstr>VALU_JC</vt:lpstr>
      <vt:lpstr>VALU_MN</vt:lpstr>
      <vt:lpstr>VALU_REQ_ACCOUNT</vt:lpstr>
      <vt:lpstr>VALU_REQ_CLASS</vt:lpstr>
      <vt:lpstr>VALU_REQ_DATE</vt:lpstr>
      <vt:lpstr>VALU_REQ_PERIOD_TYPE</vt:lpstr>
      <vt:lpstr>VALU_REQ_PERIODS</vt:lpstr>
      <vt:lpstr>VALU_XA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Jealous</dc:creator>
  <cp:lastModifiedBy>Richard Armstrong</cp:lastModifiedBy>
  <cp:lastPrinted>2016-07-22T13:36:06Z</cp:lastPrinted>
  <dcterms:created xsi:type="dcterms:W3CDTF">2006-02-16T14:45:42Z</dcterms:created>
  <dcterms:modified xsi:type="dcterms:W3CDTF">2022-07-08T15:10:36Z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2022-02-24T16:22:12Z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f0f2e7c6-363b-475c-94f5-d6da150ca9e6</vt:lpwstr>
  </property>
  <property fmtid="{D5CDD505-2E9C-101B-9397-08002B2CF9AE}" pid="8" name="MSIP_Label_5b3f6bee-25a2-4071-976d-445ec8dd7ff4_ContentBits">
    <vt:lpwstr>0</vt:lpwstr>
  </property>
</Properties>
</file>